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pivara-my.sharepoint.com/personal/mithat_hodzic_pivara_ba/Documents/Pivara 2025/SKUPŠTINA 2025/OBVEZNICE/ARIJANA/Eljub/"/>
    </mc:Choice>
  </mc:AlternateContent>
  <xr:revisionPtr revIDLastSave="5" documentId="11_F25DC773A252ABDACC10487FA15F65965BDE58EE" xr6:coauthVersionLast="47" xr6:coauthVersionMax="47" xr10:uidLastSave="{D55478C2-13C0-4CD5-9586-E3717E20BB48}"/>
  <bookViews>
    <workbookView xWindow="-110" yWindow="-110" windowWidth="19420" windowHeight="10420" xr2:uid="{00000000-000D-0000-FFFF-FFFF00000000}"/>
  </bookViews>
  <sheets>
    <sheet name="FM 2025-2034" sheetId="2" r:id="rId1"/>
  </sheets>
  <externalReferences>
    <externalReference r:id="rId2"/>
    <externalReference r:id="rId3"/>
    <externalReference r:id="rId4"/>
  </externalReferences>
  <definedNames>
    <definedName name="BudućiAnuitet">#REF!</definedName>
    <definedName name="DatumPočetkaOtplateKredita">#REF!</definedName>
    <definedName name="Direction">[2]Data!$D$2:$D$4</definedName>
    <definedName name="DodatneUplate">#REF!</definedName>
    <definedName name="Frequency">[2]Data!$B$2:$B$6</definedName>
    <definedName name="IznosKredita">#REF!</definedName>
    <definedName name="KamatnaStopa">#REF!</definedName>
    <definedName name="KreditJeDobar">(#REF!*#REF!*#REF!*#REF!)&gt;0</definedName>
    <definedName name="PlaniraniBrojUplata">#REF!</definedName>
    <definedName name="RazdobljeOtplateKredita">#REF!</definedName>
    <definedName name="StvarniBrojUplata">IFERROR(IF(KreditJeDobar,IF(UplataGodišnje=1,1,MATCH(0.01,Završni_sal,-1)+1)),"")</definedName>
    <definedName name="UkupnaKamata">SUM([3]!RasporedOtplata[KAMATA])</definedName>
    <definedName name="UkupnoRanijihUplata">SUM([3]!RasporedOtplata[DODATNE NAKNADE])</definedName>
    <definedName name="Unit">[2]Data!$C$2:$C$16</definedName>
    <definedName name="UplataGodišnje">#REF!</definedName>
    <definedName name="Završni_sal">[3]!RasporedOtplata[ZAVRŠNI SALDO]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4" i="2" l="1"/>
  <c r="L252" i="2" s="1"/>
  <c r="H244" i="2"/>
  <c r="H252" i="2" s="1"/>
  <c r="O237" i="2"/>
  <c r="O244" i="2" s="1"/>
  <c r="O252" i="2" s="1"/>
  <c r="N237" i="2"/>
  <c r="N244" i="2" s="1"/>
  <c r="N252" i="2" s="1"/>
  <c r="M237" i="2"/>
  <c r="M244" i="2" s="1"/>
  <c r="M252" i="2" s="1"/>
  <c r="L237" i="2"/>
  <c r="K237" i="2"/>
  <c r="K244" i="2" s="1"/>
  <c r="K252" i="2" s="1"/>
  <c r="J237" i="2"/>
  <c r="J244" i="2" s="1"/>
  <c r="J252" i="2" s="1"/>
  <c r="I237" i="2"/>
  <c r="I244" i="2" s="1"/>
  <c r="I252" i="2" s="1"/>
  <c r="H237" i="2"/>
  <c r="G237" i="2"/>
  <c r="G244" i="2" s="1"/>
  <c r="G252" i="2" s="1"/>
  <c r="F237" i="2"/>
  <c r="F244" i="2" s="1"/>
  <c r="F252" i="2" s="1"/>
  <c r="E237" i="2"/>
  <c r="E244" i="2" s="1"/>
  <c r="E252" i="2" s="1"/>
  <c r="F230" i="2"/>
  <c r="E230" i="2"/>
  <c r="E228" i="2"/>
  <c r="E231" i="2" s="1"/>
  <c r="E224" i="2"/>
  <c r="L219" i="2"/>
  <c r="K219" i="2"/>
  <c r="J219" i="2"/>
  <c r="I219" i="2"/>
  <c r="H219" i="2"/>
  <c r="G219" i="2"/>
  <c r="F219" i="2"/>
  <c r="E219" i="2"/>
  <c r="O218" i="2"/>
  <c r="N218" i="2"/>
  <c r="M218" i="2"/>
  <c r="L218" i="2"/>
  <c r="K218" i="2"/>
  <c r="J218" i="2"/>
  <c r="I218" i="2"/>
  <c r="H218" i="2"/>
  <c r="G218" i="2"/>
  <c r="F218" i="2"/>
  <c r="E218" i="2"/>
  <c r="G216" i="2"/>
  <c r="E216" i="2"/>
  <c r="O215" i="2"/>
  <c r="N215" i="2"/>
  <c r="M215" i="2"/>
  <c r="L215" i="2"/>
  <c r="K215" i="2"/>
  <c r="J215" i="2"/>
  <c r="I215" i="2"/>
  <c r="H215" i="2"/>
  <c r="G215" i="2"/>
  <c r="F215" i="2"/>
  <c r="E215" i="2"/>
  <c r="E212" i="2"/>
  <c r="E210" i="2"/>
  <c r="E206" i="2"/>
  <c r="O199" i="2"/>
  <c r="N199" i="2"/>
  <c r="N219" i="2" s="1"/>
  <c r="M199" i="2"/>
  <c r="M219" i="2" s="1"/>
  <c r="G194" i="2"/>
  <c r="E192" i="2"/>
  <c r="E217" i="2" s="1"/>
  <c r="G187" i="2"/>
  <c r="H187" i="2" s="1"/>
  <c r="G186" i="2"/>
  <c r="F186" i="2"/>
  <c r="E186" i="2"/>
  <c r="E198" i="2" s="1"/>
  <c r="O184" i="2"/>
  <c r="N184" i="2"/>
  <c r="F181" i="2"/>
  <c r="G181" i="2" s="1"/>
  <c r="E178" i="2"/>
  <c r="E229" i="2" s="1"/>
  <c r="G177" i="2"/>
  <c r="F177" i="2"/>
  <c r="F178" i="2" s="1"/>
  <c r="F229" i="2" s="1"/>
  <c r="O176" i="2"/>
  <c r="N176" i="2"/>
  <c r="M176" i="2"/>
  <c r="L176" i="2"/>
  <c r="K176" i="2"/>
  <c r="J176" i="2"/>
  <c r="I176" i="2"/>
  <c r="H176" i="2"/>
  <c r="G176" i="2"/>
  <c r="F176" i="2"/>
  <c r="F175" i="2"/>
  <c r="G175" i="2" s="1"/>
  <c r="O168" i="2"/>
  <c r="G168" i="2"/>
  <c r="H168" i="2" s="1"/>
  <c r="I168" i="2" s="1"/>
  <c r="J168" i="2" s="1"/>
  <c r="K168" i="2" s="1"/>
  <c r="L168" i="2" s="1"/>
  <c r="M168" i="2" s="1"/>
  <c r="N168" i="2" s="1"/>
  <c r="F168" i="2"/>
  <c r="G167" i="2"/>
  <c r="F167" i="2"/>
  <c r="E155" i="2"/>
  <c r="F206" i="2" s="1"/>
  <c r="F152" i="2"/>
  <c r="G152" i="2" s="1"/>
  <c r="E151" i="2"/>
  <c r="E214" i="2" s="1"/>
  <c r="O143" i="2"/>
  <c r="N143" i="2"/>
  <c r="M143" i="2"/>
  <c r="L143" i="2"/>
  <c r="K143" i="2"/>
  <c r="J143" i="2"/>
  <c r="I143" i="2"/>
  <c r="H143" i="2"/>
  <c r="G143" i="2"/>
  <c r="F143" i="2"/>
  <c r="E143" i="2"/>
  <c r="F140" i="2"/>
  <c r="I139" i="2"/>
  <c r="H139" i="2"/>
  <c r="F139" i="2"/>
  <c r="G139" i="2" s="1"/>
  <c r="O137" i="2"/>
  <c r="N137" i="2"/>
  <c r="M137" i="2"/>
  <c r="L137" i="2"/>
  <c r="K137" i="2"/>
  <c r="J137" i="2"/>
  <c r="I137" i="2"/>
  <c r="H137" i="2"/>
  <c r="G137" i="2"/>
  <c r="F137" i="2"/>
  <c r="I136" i="2"/>
  <c r="J136" i="2" s="1"/>
  <c r="F136" i="2"/>
  <c r="E134" i="2"/>
  <c r="K129" i="2"/>
  <c r="L129" i="2" s="1"/>
  <c r="M129" i="2" s="1"/>
  <c r="N129" i="2" s="1"/>
  <c r="O129" i="2" s="1"/>
  <c r="G129" i="2"/>
  <c r="H129" i="2" s="1"/>
  <c r="I129" i="2" s="1"/>
  <c r="J129" i="2" s="1"/>
  <c r="N128" i="2"/>
  <c r="O128" i="2" s="1"/>
  <c r="L128" i="2"/>
  <c r="M128" i="2" s="1"/>
  <c r="K128" i="2"/>
  <c r="G128" i="2"/>
  <c r="H128" i="2" s="1"/>
  <c r="I128" i="2" s="1"/>
  <c r="J128" i="2" s="1"/>
  <c r="G127" i="2"/>
  <c r="F127" i="2"/>
  <c r="F125" i="2" s="1"/>
  <c r="E125" i="2"/>
  <c r="F119" i="2"/>
  <c r="G117" i="2"/>
  <c r="H117" i="2" s="1"/>
  <c r="I117" i="2" s="1"/>
  <c r="J117" i="2" s="1"/>
  <c r="K117" i="2" s="1"/>
  <c r="L117" i="2" s="1"/>
  <c r="M117" i="2" s="1"/>
  <c r="N117" i="2" s="1"/>
  <c r="O117" i="2" s="1"/>
  <c r="F117" i="2"/>
  <c r="F116" i="2"/>
  <c r="F115" i="2" s="1"/>
  <c r="J115" i="2"/>
  <c r="E115" i="2"/>
  <c r="O113" i="2"/>
  <c r="N113" i="2"/>
  <c r="M113" i="2"/>
  <c r="L113" i="2"/>
  <c r="K113" i="2"/>
  <c r="J113" i="2"/>
  <c r="J109" i="2" s="1"/>
  <c r="I113" i="2"/>
  <c r="H113" i="2"/>
  <c r="G113" i="2"/>
  <c r="F113" i="2"/>
  <c r="O112" i="2"/>
  <c r="N112" i="2"/>
  <c r="M112" i="2"/>
  <c r="L112" i="2"/>
  <c r="L109" i="2" s="1"/>
  <c r="K112" i="2"/>
  <c r="J112" i="2"/>
  <c r="I112" i="2"/>
  <c r="H112" i="2"/>
  <c r="G112" i="2"/>
  <c r="F112" i="2"/>
  <c r="O111" i="2"/>
  <c r="O109" i="2" s="1"/>
  <c r="N111" i="2"/>
  <c r="N109" i="2" s="1"/>
  <c r="M111" i="2"/>
  <c r="L111" i="2"/>
  <c r="K111" i="2"/>
  <c r="J111" i="2"/>
  <c r="I111" i="2"/>
  <c r="H111" i="2"/>
  <c r="G111" i="2"/>
  <c r="F111" i="2"/>
  <c r="F109" i="2" s="1"/>
  <c r="O110" i="2"/>
  <c r="N110" i="2"/>
  <c r="M110" i="2"/>
  <c r="L110" i="2"/>
  <c r="K110" i="2"/>
  <c r="J110" i="2"/>
  <c r="I110" i="2"/>
  <c r="H110" i="2"/>
  <c r="H109" i="2" s="1"/>
  <c r="G110" i="2"/>
  <c r="F110" i="2"/>
  <c r="E109" i="2"/>
  <c r="O108" i="2"/>
  <c r="N108" i="2"/>
  <c r="M108" i="2"/>
  <c r="L108" i="2"/>
  <c r="K108" i="2"/>
  <c r="J108" i="2"/>
  <c r="I108" i="2"/>
  <c r="H108" i="2"/>
  <c r="G108" i="2"/>
  <c r="F108" i="2"/>
  <c r="E108" i="2"/>
  <c r="O106" i="2"/>
  <c r="N106" i="2"/>
  <c r="M106" i="2"/>
  <c r="L106" i="2"/>
  <c r="K106" i="2"/>
  <c r="J106" i="2"/>
  <c r="J104" i="2" s="1"/>
  <c r="I106" i="2"/>
  <c r="H106" i="2"/>
  <c r="G106" i="2"/>
  <c r="F106" i="2"/>
  <c r="E106" i="2"/>
  <c r="O105" i="2"/>
  <c r="N105" i="2"/>
  <c r="N104" i="2" s="1"/>
  <c r="M105" i="2"/>
  <c r="M104" i="2" s="1"/>
  <c r="L105" i="2"/>
  <c r="K105" i="2"/>
  <c r="J105" i="2"/>
  <c r="I105" i="2"/>
  <c r="H105" i="2"/>
  <c r="G105" i="2"/>
  <c r="F105" i="2"/>
  <c r="F104" i="2" s="1"/>
  <c r="O104" i="2"/>
  <c r="I104" i="2"/>
  <c r="E104" i="2"/>
  <c r="C102" i="2"/>
  <c r="C205" i="2" s="1"/>
  <c r="F83" i="2"/>
  <c r="F80" i="2" s="1"/>
  <c r="E80" i="2"/>
  <c r="F75" i="2"/>
  <c r="F73" i="2" s="1"/>
  <c r="O73" i="2"/>
  <c r="N73" i="2"/>
  <c r="M73" i="2"/>
  <c r="L73" i="2"/>
  <c r="K73" i="2"/>
  <c r="J73" i="2"/>
  <c r="I73" i="2"/>
  <c r="H73" i="2"/>
  <c r="G73" i="2"/>
  <c r="E73" i="2"/>
  <c r="E72" i="2"/>
  <c r="H71" i="2"/>
  <c r="G71" i="2"/>
  <c r="O69" i="2"/>
  <c r="O68" i="2" s="1"/>
  <c r="N69" i="2"/>
  <c r="N68" i="2" s="1"/>
  <c r="M69" i="2"/>
  <c r="M68" i="2" s="1"/>
  <c r="L69" i="2"/>
  <c r="L68" i="2" s="1"/>
  <c r="L63" i="2" s="1"/>
  <c r="K69" i="2"/>
  <c r="J69" i="2"/>
  <c r="J68" i="2" s="1"/>
  <c r="I69" i="2"/>
  <c r="I68" i="2" s="1"/>
  <c r="H69" i="2"/>
  <c r="H68" i="2" s="1"/>
  <c r="G69" i="2"/>
  <c r="F69" i="2"/>
  <c r="F68" i="2" s="1"/>
  <c r="K68" i="2"/>
  <c r="K63" i="2" s="1"/>
  <c r="E68" i="2"/>
  <c r="O64" i="2"/>
  <c r="N64" i="2"/>
  <c r="M64" i="2"/>
  <c r="M63" i="2" s="1"/>
  <c r="L64" i="2"/>
  <c r="K64" i="2"/>
  <c r="J64" i="2"/>
  <c r="J63" i="2" s="1"/>
  <c r="I64" i="2"/>
  <c r="H64" i="2"/>
  <c r="G64" i="2"/>
  <c r="F64" i="2"/>
  <c r="E64" i="2"/>
  <c r="E63" i="2" s="1"/>
  <c r="I63" i="2"/>
  <c r="H63" i="2"/>
  <c r="O59" i="2"/>
  <c r="O210" i="2" s="1"/>
  <c r="N59" i="2"/>
  <c r="N210" i="2" s="1"/>
  <c r="M59" i="2"/>
  <c r="M210" i="2" s="1"/>
  <c r="L59" i="2"/>
  <c r="L210" i="2" s="1"/>
  <c r="K59" i="2"/>
  <c r="K210" i="2" s="1"/>
  <c r="J59" i="2"/>
  <c r="J210" i="2" s="1"/>
  <c r="I59" i="2"/>
  <c r="I210" i="2" s="1"/>
  <c r="H59" i="2"/>
  <c r="H210" i="2" s="1"/>
  <c r="G59" i="2"/>
  <c r="G210" i="2" s="1"/>
  <c r="F59" i="2"/>
  <c r="F210" i="2" s="1"/>
  <c r="I54" i="2"/>
  <c r="J54" i="2" s="1"/>
  <c r="K54" i="2" s="1"/>
  <c r="L54" i="2" s="1"/>
  <c r="M54" i="2" s="1"/>
  <c r="N54" i="2" s="1"/>
  <c r="O54" i="2" s="1"/>
  <c r="G54" i="2"/>
  <c r="H54" i="2" s="1"/>
  <c r="F54" i="2"/>
  <c r="G53" i="2"/>
  <c r="H53" i="2" s="1"/>
  <c r="I53" i="2" s="1"/>
  <c r="J53" i="2" s="1"/>
  <c r="K53" i="2" s="1"/>
  <c r="L53" i="2" s="1"/>
  <c r="M53" i="2" s="1"/>
  <c r="N53" i="2" s="1"/>
  <c r="O53" i="2" s="1"/>
  <c r="F53" i="2"/>
  <c r="F52" i="2"/>
  <c r="G52" i="2" s="1"/>
  <c r="H52" i="2" s="1"/>
  <c r="I52" i="2" s="1"/>
  <c r="J52" i="2" s="1"/>
  <c r="K52" i="2" s="1"/>
  <c r="L52" i="2" s="1"/>
  <c r="M52" i="2" s="1"/>
  <c r="N52" i="2" s="1"/>
  <c r="O52" i="2" s="1"/>
  <c r="G51" i="2"/>
  <c r="H51" i="2" s="1"/>
  <c r="I51" i="2" s="1"/>
  <c r="J51" i="2" s="1"/>
  <c r="K51" i="2" s="1"/>
  <c r="L51" i="2" s="1"/>
  <c r="M51" i="2" s="1"/>
  <c r="N51" i="2" s="1"/>
  <c r="O51" i="2" s="1"/>
  <c r="F51" i="2"/>
  <c r="F50" i="2"/>
  <c r="G49" i="2"/>
  <c r="F49" i="2"/>
  <c r="E48" i="2"/>
  <c r="F46" i="2"/>
  <c r="G46" i="2" s="1"/>
  <c r="H46" i="2" s="1"/>
  <c r="G45" i="2"/>
  <c r="F45" i="2"/>
  <c r="E45" i="2"/>
  <c r="H44" i="2"/>
  <c r="I44" i="2" s="1"/>
  <c r="J44" i="2" s="1"/>
  <c r="K44" i="2" s="1"/>
  <c r="L44" i="2" s="1"/>
  <c r="M44" i="2" s="1"/>
  <c r="N44" i="2" s="1"/>
  <c r="O44" i="2" s="1"/>
  <c r="G44" i="2"/>
  <c r="G43" i="2"/>
  <c r="H43" i="2" s="1"/>
  <c r="I43" i="2" s="1"/>
  <c r="J43" i="2" s="1"/>
  <c r="K43" i="2" s="1"/>
  <c r="L43" i="2" s="1"/>
  <c r="M43" i="2" s="1"/>
  <c r="N43" i="2" s="1"/>
  <c r="O43" i="2" s="1"/>
  <c r="H42" i="2"/>
  <c r="I42" i="2" s="1"/>
  <c r="J42" i="2" s="1"/>
  <c r="K42" i="2" s="1"/>
  <c r="L42" i="2" s="1"/>
  <c r="M42" i="2" s="1"/>
  <c r="N42" i="2" s="1"/>
  <c r="O42" i="2" s="1"/>
  <c r="G42" i="2"/>
  <c r="F42" i="2"/>
  <c r="F41" i="2"/>
  <c r="G41" i="2" s="1"/>
  <c r="H41" i="2" s="1"/>
  <c r="I41" i="2" s="1"/>
  <c r="J41" i="2" s="1"/>
  <c r="K41" i="2" s="1"/>
  <c r="L41" i="2" s="1"/>
  <c r="M41" i="2" s="1"/>
  <c r="N41" i="2" s="1"/>
  <c r="O41" i="2" s="1"/>
  <c r="H40" i="2"/>
  <c r="I40" i="2" s="1"/>
  <c r="J40" i="2" s="1"/>
  <c r="K40" i="2" s="1"/>
  <c r="L40" i="2" s="1"/>
  <c r="M40" i="2" s="1"/>
  <c r="N40" i="2" s="1"/>
  <c r="O40" i="2" s="1"/>
  <c r="G40" i="2"/>
  <c r="G39" i="2"/>
  <c r="H39" i="2" s="1"/>
  <c r="I39" i="2" s="1"/>
  <c r="J39" i="2" s="1"/>
  <c r="K39" i="2" s="1"/>
  <c r="L39" i="2" s="1"/>
  <c r="M39" i="2" s="1"/>
  <c r="N39" i="2" s="1"/>
  <c r="O39" i="2" s="1"/>
  <c r="F39" i="2"/>
  <c r="G38" i="2"/>
  <c r="F38" i="2"/>
  <c r="F37" i="2"/>
  <c r="E37" i="2"/>
  <c r="G36" i="2"/>
  <c r="H36" i="2" s="1"/>
  <c r="I36" i="2" s="1"/>
  <c r="J36" i="2" s="1"/>
  <c r="K36" i="2" s="1"/>
  <c r="L36" i="2" s="1"/>
  <c r="M36" i="2" s="1"/>
  <c r="N36" i="2" s="1"/>
  <c r="O36" i="2" s="1"/>
  <c r="F36" i="2"/>
  <c r="F35" i="2"/>
  <c r="G35" i="2" s="1"/>
  <c r="H34" i="2"/>
  <c r="G34" i="2"/>
  <c r="F34" i="2"/>
  <c r="F32" i="2"/>
  <c r="E32" i="2"/>
  <c r="E28" i="2"/>
  <c r="F28" i="2" s="1"/>
  <c r="F25" i="2" s="1"/>
  <c r="H27" i="2"/>
  <c r="I27" i="2" s="1"/>
  <c r="J27" i="2" s="1"/>
  <c r="K27" i="2" s="1"/>
  <c r="L27" i="2" s="1"/>
  <c r="M27" i="2" s="1"/>
  <c r="N27" i="2" s="1"/>
  <c r="O27" i="2" s="1"/>
  <c r="F27" i="2"/>
  <c r="G27" i="2" s="1"/>
  <c r="G26" i="2"/>
  <c r="H26" i="2" s="1"/>
  <c r="F26" i="2"/>
  <c r="E25" i="2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F21" i="2"/>
  <c r="G21" i="2" s="1"/>
  <c r="H21" i="2" s="1"/>
  <c r="I21" i="2" s="1"/>
  <c r="J21" i="2" s="1"/>
  <c r="K21" i="2" s="1"/>
  <c r="L21" i="2" s="1"/>
  <c r="M21" i="2" s="1"/>
  <c r="N21" i="2" s="1"/>
  <c r="O21" i="2" s="1"/>
  <c r="E21" i="2"/>
  <c r="I20" i="2"/>
  <c r="J20" i="2" s="1"/>
  <c r="K20" i="2" s="1"/>
  <c r="L20" i="2" s="1"/>
  <c r="M20" i="2" s="1"/>
  <c r="N20" i="2" s="1"/>
  <c r="O20" i="2" s="1"/>
  <c r="G20" i="2"/>
  <c r="H20" i="2" s="1"/>
  <c r="F20" i="2"/>
  <c r="G19" i="2"/>
  <c r="H19" i="2" s="1"/>
  <c r="I19" i="2" s="1"/>
  <c r="J19" i="2" s="1"/>
  <c r="K19" i="2" s="1"/>
  <c r="L19" i="2" s="1"/>
  <c r="M19" i="2" s="1"/>
  <c r="N19" i="2" s="1"/>
  <c r="O19" i="2" s="1"/>
  <c r="F19" i="2"/>
  <c r="F18" i="2"/>
  <c r="G18" i="2" s="1"/>
  <c r="H18" i="2" s="1"/>
  <c r="I18" i="2" s="1"/>
  <c r="J18" i="2" s="1"/>
  <c r="K18" i="2" s="1"/>
  <c r="L18" i="2" s="1"/>
  <c r="M18" i="2" s="1"/>
  <c r="N18" i="2" s="1"/>
  <c r="O18" i="2" s="1"/>
  <c r="G17" i="2"/>
  <c r="H17" i="2" s="1"/>
  <c r="I17" i="2" s="1"/>
  <c r="J17" i="2" s="1"/>
  <c r="K17" i="2" s="1"/>
  <c r="L17" i="2" s="1"/>
  <c r="M17" i="2" s="1"/>
  <c r="N17" i="2" s="1"/>
  <c r="O17" i="2" s="1"/>
  <c r="F17" i="2"/>
  <c r="G16" i="2"/>
  <c r="H16" i="2" s="1"/>
  <c r="I16" i="2" s="1"/>
  <c r="J16" i="2" s="1"/>
  <c r="K16" i="2" s="1"/>
  <c r="L16" i="2" s="1"/>
  <c r="M16" i="2" s="1"/>
  <c r="N16" i="2" s="1"/>
  <c r="O16" i="2" s="1"/>
  <c r="F16" i="2"/>
  <c r="G15" i="2"/>
  <c r="H15" i="2" s="1"/>
  <c r="H13" i="2" s="1"/>
  <c r="F15" i="2"/>
  <c r="E14" i="2"/>
  <c r="F14" i="2" s="1"/>
  <c r="F13" i="2" s="1"/>
  <c r="F11" i="2"/>
  <c r="G11" i="2" s="1"/>
  <c r="H11" i="2" s="1"/>
  <c r="I11" i="2" s="1"/>
  <c r="J11" i="2" s="1"/>
  <c r="K11" i="2" s="1"/>
  <c r="L11" i="2" s="1"/>
  <c r="M11" i="2" s="1"/>
  <c r="N11" i="2" s="1"/>
  <c r="O11" i="2" s="1"/>
  <c r="F10" i="2"/>
  <c r="G10" i="2" s="1"/>
  <c r="H10" i="2" s="1"/>
  <c r="G8" i="2"/>
  <c r="O63" i="2" l="1"/>
  <c r="G68" i="2"/>
  <c r="O219" i="2"/>
  <c r="M109" i="2"/>
  <c r="N223" i="2" s="1"/>
  <c r="K109" i="2"/>
  <c r="K104" i="2"/>
  <c r="K223" i="2" s="1"/>
  <c r="F63" i="2"/>
  <c r="I10" i="2"/>
  <c r="H8" i="2"/>
  <c r="F55" i="2"/>
  <c r="F190" i="2" s="1"/>
  <c r="F240" i="2" s="1"/>
  <c r="H45" i="2"/>
  <c r="I46" i="2"/>
  <c r="G197" i="2"/>
  <c r="G192" i="2" s="1"/>
  <c r="I34" i="2"/>
  <c r="H181" i="2"/>
  <c r="G230" i="2"/>
  <c r="G28" i="2"/>
  <c r="G212" i="2"/>
  <c r="F72" i="2"/>
  <c r="J122" i="2"/>
  <c r="H167" i="2"/>
  <c r="N63" i="2"/>
  <c r="F122" i="2"/>
  <c r="G116" i="2"/>
  <c r="H35" i="2"/>
  <c r="I35" i="2" s="1"/>
  <c r="J35" i="2" s="1"/>
  <c r="K35" i="2" s="1"/>
  <c r="L35" i="2" s="1"/>
  <c r="M35" i="2" s="1"/>
  <c r="N35" i="2" s="1"/>
  <c r="O35" i="2" s="1"/>
  <c r="G32" i="2"/>
  <c r="I15" i="2"/>
  <c r="I109" i="2"/>
  <c r="J223" i="2" s="1"/>
  <c r="G109" i="2"/>
  <c r="H194" i="2"/>
  <c r="G48" i="2"/>
  <c r="H49" i="2"/>
  <c r="E223" i="2"/>
  <c r="E225" i="2" s="1"/>
  <c r="E122" i="2"/>
  <c r="F223" i="2"/>
  <c r="F225" i="2" s="1"/>
  <c r="F133" i="2"/>
  <c r="F238" i="2" s="1"/>
  <c r="E13" i="2"/>
  <c r="E23" i="2" s="1"/>
  <c r="G13" i="2"/>
  <c r="G23" i="2" s="1"/>
  <c r="G83" i="2"/>
  <c r="F213" i="2"/>
  <c r="E213" i="2"/>
  <c r="E161" i="2"/>
  <c r="F48" i="2"/>
  <c r="G50" i="2"/>
  <c r="H50" i="2" s="1"/>
  <c r="I50" i="2" s="1"/>
  <c r="J50" i="2" s="1"/>
  <c r="K50" i="2" s="1"/>
  <c r="L50" i="2" s="1"/>
  <c r="M50" i="2" s="1"/>
  <c r="N50" i="2" s="1"/>
  <c r="O50" i="2" s="1"/>
  <c r="H127" i="2"/>
  <c r="G125" i="2"/>
  <c r="I26" i="2"/>
  <c r="H38" i="2"/>
  <c r="G37" i="2"/>
  <c r="F8" i="2"/>
  <c r="G104" i="2"/>
  <c r="K136" i="2"/>
  <c r="E211" i="2"/>
  <c r="E133" i="2"/>
  <c r="E238" i="2" s="1"/>
  <c r="E55" i="2"/>
  <c r="G63" i="2"/>
  <c r="H104" i="2"/>
  <c r="J139" i="2"/>
  <c r="K139" i="2" s="1"/>
  <c r="L139" i="2" s="1"/>
  <c r="M139" i="2" s="1"/>
  <c r="N139" i="2" s="1"/>
  <c r="O139" i="2" s="1"/>
  <c r="F134" i="2"/>
  <c r="G140" i="2"/>
  <c r="F212" i="2"/>
  <c r="O223" i="2"/>
  <c r="L104" i="2"/>
  <c r="H175" i="2"/>
  <c r="G178" i="2"/>
  <c r="G229" i="2" s="1"/>
  <c r="H152" i="2"/>
  <c r="G151" i="2"/>
  <c r="F224" i="2"/>
  <c r="I187" i="2"/>
  <c r="H186" i="2"/>
  <c r="F151" i="2"/>
  <c r="F216" i="2"/>
  <c r="L223" i="2" l="1"/>
  <c r="G89" i="2"/>
  <c r="G198" i="2"/>
  <c r="H214" i="2"/>
  <c r="I152" i="2"/>
  <c r="H151" i="2"/>
  <c r="I194" i="2"/>
  <c r="H28" i="2"/>
  <c r="G25" i="2"/>
  <c r="G133" i="2" s="1"/>
  <c r="G238" i="2" s="1"/>
  <c r="J46" i="2"/>
  <c r="I45" i="2"/>
  <c r="G214" i="2"/>
  <c r="F214" i="2"/>
  <c r="I175" i="2"/>
  <c r="H178" i="2"/>
  <c r="H229" i="2" s="1"/>
  <c r="I223" i="2"/>
  <c r="L136" i="2"/>
  <c r="I127" i="2"/>
  <c r="H125" i="2"/>
  <c r="H83" i="2"/>
  <c r="G80" i="2"/>
  <c r="H116" i="2"/>
  <c r="G115" i="2"/>
  <c r="G122" i="2" s="1"/>
  <c r="I167" i="2"/>
  <c r="E141" i="2"/>
  <c r="E239" i="2" s="1"/>
  <c r="E29" i="2"/>
  <c r="H216" i="2"/>
  <c r="H140" i="2"/>
  <c r="G134" i="2"/>
  <c r="F197" i="2"/>
  <c r="F192" i="2" s="1"/>
  <c r="F23" i="2"/>
  <c r="H32" i="2"/>
  <c r="G213" i="2"/>
  <c r="E163" i="2"/>
  <c r="E247" i="2"/>
  <c r="E246" i="2"/>
  <c r="J15" i="2"/>
  <c r="I13" i="2"/>
  <c r="J34" i="2"/>
  <c r="I32" i="2"/>
  <c r="H197" i="2"/>
  <c r="H192" i="2" s="1"/>
  <c r="H23" i="2"/>
  <c r="J26" i="2"/>
  <c r="M223" i="2"/>
  <c r="H223" i="2"/>
  <c r="H230" i="2"/>
  <c r="I181" i="2"/>
  <c r="J187" i="2"/>
  <c r="I186" i="2"/>
  <c r="E89" i="2"/>
  <c r="E190" i="2"/>
  <c r="E240" i="2" s="1"/>
  <c r="E90" i="2"/>
  <c r="I38" i="2"/>
  <c r="H37" i="2"/>
  <c r="F90" i="2"/>
  <c r="H48" i="2"/>
  <c r="I49" i="2"/>
  <c r="G55" i="2"/>
  <c r="G223" i="2"/>
  <c r="I8" i="2"/>
  <c r="J10" i="2"/>
  <c r="H217" i="2" l="1"/>
  <c r="H198" i="2"/>
  <c r="K26" i="2"/>
  <c r="I116" i="2"/>
  <c r="H115" i="2"/>
  <c r="I230" i="2"/>
  <c r="J181" i="2"/>
  <c r="G90" i="2"/>
  <c r="G92" i="2" s="1"/>
  <c r="G72" i="2"/>
  <c r="K10" i="2"/>
  <c r="J8" i="2"/>
  <c r="H89" i="2"/>
  <c r="E254" i="2"/>
  <c r="F141" i="2"/>
  <c r="F239" i="2" s="1"/>
  <c r="F241" i="2" s="1"/>
  <c r="F29" i="2"/>
  <c r="F89" i="2"/>
  <c r="F92" i="2" s="1"/>
  <c r="E57" i="2"/>
  <c r="E30" i="2"/>
  <c r="I83" i="2"/>
  <c r="H80" i="2"/>
  <c r="I178" i="2"/>
  <c r="I229" i="2" s="1"/>
  <c r="J175" i="2"/>
  <c r="J194" i="2"/>
  <c r="I192" i="2"/>
  <c r="I217" i="2" s="1"/>
  <c r="I216" i="2"/>
  <c r="J186" i="2"/>
  <c r="K187" i="2"/>
  <c r="H55" i="2"/>
  <c r="I28" i="2"/>
  <c r="H25" i="2"/>
  <c r="H133" i="2" s="1"/>
  <c r="H238" i="2" s="1"/>
  <c r="J38" i="2"/>
  <c r="I37" i="2"/>
  <c r="F217" i="2"/>
  <c r="F211" i="2" s="1"/>
  <c r="F198" i="2"/>
  <c r="G225" i="2"/>
  <c r="I55" i="2"/>
  <c r="J167" i="2"/>
  <c r="J127" i="2"/>
  <c r="I125" i="2"/>
  <c r="I212" i="2" s="1"/>
  <c r="G29" i="2"/>
  <c r="M136" i="2"/>
  <c r="J49" i="2"/>
  <c r="I48" i="2"/>
  <c r="J13" i="2"/>
  <c r="K15" i="2"/>
  <c r="G224" i="2"/>
  <c r="I197" i="2"/>
  <c r="I23" i="2"/>
  <c r="H212" i="2"/>
  <c r="G217" i="2"/>
  <c r="G211" i="2" s="1"/>
  <c r="G190" i="2"/>
  <c r="G240" i="2" s="1"/>
  <c r="E241" i="2"/>
  <c r="J32" i="2"/>
  <c r="K34" i="2"/>
  <c r="I140" i="2"/>
  <c r="H134" i="2"/>
  <c r="E92" i="2"/>
  <c r="E95" i="2" s="1"/>
  <c r="K46" i="2"/>
  <c r="J45" i="2"/>
  <c r="J152" i="2"/>
  <c r="I151" i="2"/>
  <c r="G141" i="2"/>
  <c r="G239" i="2" s="1"/>
  <c r="I80" i="2" l="1"/>
  <c r="J83" i="2"/>
  <c r="E171" i="2"/>
  <c r="E256" i="2"/>
  <c r="E209" i="2"/>
  <c r="E220" i="2" s="1"/>
  <c r="E233" i="2" s="1"/>
  <c r="E234" i="2" s="1"/>
  <c r="E235" i="2" s="1"/>
  <c r="E96" i="2"/>
  <c r="H29" i="2"/>
  <c r="E61" i="2"/>
  <c r="E58" i="2"/>
  <c r="E248" i="2"/>
  <c r="K49" i="2"/>
  <c r="J48" i="2"/>
  <c r="F93" i="2"/>
  <c r="F95" i="2"/>
  <c r="J216" i="2"/>
  <c r="G57" i="2"/>
  <c r="G30" i="2"/>
  <c r="H122" i="2"/>
  <c r="K127" i="2"/>
  <c r="J125" i="2"/>
  <c r="J116" i="2"/>
  <c r="K116" i="2" s="1"/>
  <c r="I115" i="2"/>
  <c r="J140" i="2"/>
  <c r="I134" i="2"/>
  <c r="K167" i="2"/>
  <c r="K32" i="2"/>
  <c r="L34" i="2"/>
  <c r="G93" i="2"/>
  <c r="G95" i="2" s="1"/>
  <c r="K186" i="2"/>
  <c r="L187" i="2"/>
  <c r="K8" i="2"/>
  <c r="L10" i="2"/>
  <c r="J151" i="2"/>
  <c r="K152" i="2"/>
  <c r="I198" i="2"/>
  <c r="L15" i="2"/>
  <c r="K13" i="2"/>
  <c r="J28" i="2"/>
  <c r="I25" i="2"/>
  <c r="I133" i="2" s="1"/>
  <c r="I238" i="2" s="1"/>
  <c r="I213" i="2"/>
  <c r="I211" i="2" s="1"/>
  <c r="H190" i="2"/>
  <c r="H240" i="2" s="1"/>
  <c r="H141" i="2"/>
  <c r="H239" i="2" s="1"/>
  <c r="I141" i="2"/>
  <c r="I239" i="2" s="1"/>
  <c r="I89" i="2"/>
  <c r="J197" i="2"/>
  <c r="J192" i="2" s="1"/>
  <c r="J23" i="2"/>
  <c r="J214" i="2"/>
  <c r="F248" i="2"/>
  <c r="K194" i="2"/>
  <c r="F57" i="2"/>
  <c r="F30" i="2"/>
  <c r="L26" i="2"/>
  <c r="I214" i="2"/>
  <c r="J178" i="2"/>
  <c r="J229" i="2" s="1"/>
  <c r="K175" i="2"/>
  <c r="K45" i="2"/>
  <c r="L46" i="2"/>
  <c r="G241" i="2"/>
  <c r="H224" i="2"/>
  <c r="H225" i="2" s="1"/>
  <c r="N136" i="2"/>
  <c r="H213" i="2"/>
  <c r="H211" i="2" s="1"/>
  <c r="J37" i="2"/>
  <c r="J55" i="2" s="1"/>
  <c r="K38" i="2"/>
  <c r="H72" i="2"/>
  <c r="H90" i="2"/>
  <c r="H92" i="2" s="1"/>
  <c r="J230" i="2"/>
  <c r="K181" i="2"/>
  <c r="J217" i="2" l="1"/>
  <c r="J198" i="2"/>
  <c r="G209" i="2"/>
  <c r="G220" i="2" s="1"/>
  <c r="G96" i="2"/>
  <c r="G171" i="2"/>
  <c r="M26" i="2"/>
  <c r="K151" i="2"/>
  <c r="L152" i="2"/>
  <c r="G58" i="2"/>
  <c r="G61" i="2"/>
  <c r="G248" i="2"/>
  <c r="K37" i="2"/>
  <c r="K55" i="2" s="1"/>
  <c r="L38" i="2"/>
  <c r="J89" i="2"/>
  <c r="K214" i="2"/>
  <c r="K212" i="2"/>
  <c r="L49" i="2"/>
  <c r="K48" i="2"/>
  <c r="F170" i="2"/>
  <c r="E172" i="2"/>
  <c r="L13" i="2"/>
  <c r="M15" i="2"/>
  <c r="K140" i="2"/>
  <c r="J134" i="2"/>
  <c r="H241" i="2"/>
  <c r="L175" i="2"/>
  <c r="K178" i="2"/>
  <c r="K229" i="2" s="1"/>
  <c r="F58" i="2"/>
  <c r="F61" i="2"/>
  <c r="L167" i="2"/>
  <c r="K28" i="2"/>
  <c r="J25" i="2"/>
  <c r="J133" i="2" s="1"/>
  <c r="J238" i="2" s="1"/>
  <c r="K197" i="2"/>
  <c r="K23" i="2"/>
  <c r="I90" i="2"/>
  <c r="I92" i="2" s="1"/>
  <c r="I72" i="2"/>
  <c r="F171" i="2"/>
  <c r="F209" i="2"/>
  <c r="F220" i="2" s="1"/>
  <c r="F96" i="2"/>
  <c r="J224" i="2"/>
  <c r="J225" i="2" s="1"/>
  <c r="I122" i="2"/>
  <c r="L45" i="2"/>
  <c r="M46" i="2"/>
  <c r="L116" i="2"/>
  <c r="K115" i="2"/>
  <c r="K192" i="2"/>
  <c r="K217" i="2" s="1"/>
  <c r="L194" i="2"/>
  <c r="I29" i="2"/>
  <c r="J212" i="2"/>
  <c r="M187" i="2"/>
  <c r="L186" i="2"/>
  <c r="I224" i="2"/>
  <c r="I225" i="2" s="1"/>
  <c r="E249" i="2"/>
  <c r="E62" i="2"/>
  <c r="I190" i="2"/>
  <c r="I240" i="2" s="1"/>
  <c r="I241" i="2" s="1"/>
  <c r="H93" i="2"/>
  <c r="H95" i="2" s="1"/>
  <c r="M34" i="2"/>
  <c r="L32" i="2"/>
  <c r="L8" i="2"/>
  <c r="M10" i="2"/>
  <c r="K125" i="2"/>
  <c r="L127" i="2"/>
  <c r="J80" i="2"/>
  <c r="K83" i="2"/>
  <c r="K230" i="2"/>
  <c r="L181" i="2"/>
  <c r="O136" i="2"/>
  <c r="K216" i="2"/>
  <c r="K198" i="2"/>
  <c r="J213" i="2"/>
  <c r="H30" i="2"/>
  <c r="H57" i="2"/>
  <c r="M45" i="2" l="1"/>
  <c r="N46" i="2"/>
  <c r="K80" i="2"/>
  <c r="L83" i="2"/>
  <c r="J90" i="2"/>
  <c r="J92" i="2" s="1"/>
  <c r="J72" i="2"/>
  <c r="M194" i="2"/>
  <c r="F249" i="2"/>
  <c r="F62" i="2"/>
  <c r="L216" i="2"/>
  <c r="L28" i="2"/>
  <c r="K25" i="2"/>
  <c r="K133" i="2" s="1"/>
  <c r="K238" i="2" s="1"/>
  <c r="M49" i="2"/>
  <c r="L48" i="2"/>
  <c r="N187" i="2"/>
  <c r="M186" i="2"/>
  <c r="J211" i="2"/>
  <c r="N15" i="2"/>
  <c r="M13" i="2"/>
  <c r="G249" i="2"/>
  <c r="G62" i="2"/>
  <c r="K89" i="2"/>
  <c r="E200" i="2"/>
  <c r="E255" i="2"/>
  <c r="L151" i="2"/>
  <c r="M152" i="2"/>
  <c r="J190" i="2"/>
  <c r="J240" i="2" s="1"/>
  <c r="M38" i="2"/>
  <c r="L37" i="2"/>
  <c r="L55" i="2" s="1"/>
  <c r="I93" i="2"/>
  <c r="I95" i="2" s="1"/>
  <c r="H209" i="2"/>
  <c r="H220" i="2" s="1"/>
  <c r="H96" i="2"/>
  <c r="H171" i="2"/>
  <c r="I57" i="2"/>
  <c r="I30" i="2"/>
  <c r="L125" i="2"/>
  <c r="M127" i="2"/>
  <c r="M8" i="2"/>
  <c r="N10" i="2"/>
  <c r="K224" i="2"/>
  <c r="K225" i="2" s="1"/>
  <c r="K122" i="2"/>
  <c r="G170" i="2"/>
  <c r="F172" i="2"/>
  <c r="F228" i="2"/>
  <c r="F231" i="2" s="1"/>
  <c r="F233" i="2" s="1"/>
  <c r="F234" i="2" s="1"/>
  <c r="J29" i="2"/>
  <c r="N34" i="2"/>
  <c r="M32" i="2"/>
  <c r="M167" i="2"/>
  <c r="L140" i="2"/>
  <c r="K134" i="2"/>
  <c r="K141" i="2" s="1"/>
  <c r="K239" i="2" s="1"/>
  <c r="H61" i="2"/>
  <c r="H58" i="2"/>
  <c r="H248" i="2"/>
  <c r="L230" i="2"/>
  <c r="M181" i="2"/>
  <c r="L197" i="2"/>
  <c r="L192" i="2" s="1"/>
  <c r="L23" i="2"/>
  <c r="L115" i="2"/>
  <c r="L224" i="2" s="1"/>
  <c r="L225" i="2" s="1"/>
  <c r="M116" i="2"/>
  <c r="L178" i="2"/>
  <c r="L229" i="2" s="1"/>
  <c r="M175" i="2"/>
  <c r="J141" i="2"/>
  <c r="J239" i="2" s="1"/>
  <c r="N26" i="2"/>
  <c r="F156" i="2" l="1"/>
  <c r="F155" i="2" s="1"/>
  <c r="L217" i="2"/>
  <c r="L198" i="2"/>
  <c r="N13" i="2"/>
  <c r="O15" i="2"/>
  <c r="O13" i="2" s="1"/>
  <c r="M83" i="2"/>
  <c r="L80" i="2"/>
  <c r="M115" i="2"/>
  <c r="N116" i="2"/>
  <c r="H249" i="2"/>
  <c r="H62" i="2"/>
  <c r="O34" i="2"/>
  <c r="O32" i="2" s="1"/>
  <c r="N32" i="2"/>
  <c r="H170" i="2"/>
  <c r="G172" i="2"/>
  <c r="G228" i="2"/>
  <c r="G231" i="2" s="1"/>
  <c r="G233" i="2" s="1"/>
  <c r="K90" i="2"/>
  <c r="K92" i="2" s="1"/>
  <c r="K72" i="2"/>
  <c r="J57" i="2"/>
  <c r="J30" i="2"/>
  <c r="I209" i="2"/>
  <c r="I220" i="2" s="1"/>
  <c r="I171" i="2"/>
  <c r="I96" i="2"/>
  <c r="N175" i="2"/>
  <c r="M178" i="2"/>
  <c r="M229" i="2" s="1"/>
  <c r="M125" i="2"/>
  <c r="N127" i="2"/>
  <c r="L213" i="2"/>
  <c r="I58" i="2"/>
  <c r="I61" i="2"/>
  <c r="I248" i="2"/>
  <c r="K213" i="2"/>
  <c r="K211" i="2" s="1"/>
  <c r="J241" i="2"/>
  <c r="K29" i="2"/>
  <c r="O187" i="2"/>
  <c r="O186" i="2" s="1"/>
  <c r="N186" i="2"/>
  <c r="O46" i="2"/>
  <c r="O45" i="2" s="1"/>
  <c r="N45" i="2"/>
  <c r="N167" i="2"/>
  <c r="M28" i="2"/>
  <c r="L25" i="2"/>
  <c r="L133" i="2" s="1"/>
  <c r="L238" i="2" s="1"/>
  <c r="E201" i="2"/>
  <c r="E202" i="2"/>
  <c r="L29" i="2"/>
  <c r="L89" i="2"/>
  <c r="M140" i="2"/>
  <c r="L134" i="2"/>
  <c r="N152" i="2"/>
  <c r="M151" i="2"/>
  <c r="L212" i="2"/>
  <c r="L211" i="2" s="1"/>
  <c r="N194" i="2"/>
  <c r="M192" i="2"/>
  <c r="M217" i="2" s="1"/>
  <c r="M197" i="2"/>
  <c r="M23" i="2"/>
  <c r="J93" i="2"/>
  <c r="J95" i="2" s="1"/>
  <c r="F200" i="2"/>
  <c r="F255" i="2"/>
  <c r="M37" i="2"/>
  <c r="M55" i="2" s="1"/>
  <c r="N38" i="2"/>
  <c r="M224" i="2"/>
  <c r="M225" i="2" s="1"/>
  <c r="L122" i="2"/>
  <c r="M216" i="2"/>
  <c r="O26" i="2"/>
  <c r="M230" i="2"/>
  <c r="N181" i="2"/>
  <c r="O10" i="2"/>
  <c r="O8" i="2" s="1"/>
  <c r="N8" i="2"/>
  <c r="N49" i="2"/>
  <c r="M48" i="2"/>
  <c r="K190" i="2"/>
  <c r="K240" i="2" s="1"/>
  <c r="K241" i="2" s="1"/>
  <c r="J209" i="2" l="1"/>
  <c r="J220" i="2" s="1"/>
  <c r="J171" i="2"/>
  <c r="J96" i="2"/>
  <c r="K93" i="2"/>
  <c r="K95" i="2" s="1"/>
  <c r="N125" i="2"/>
  <c r="O212" i="2" s="1"/>
  <c r="O127" i="2"/>
  <c r="O125" i="2" s="1"/>
  <c r="L30" i="2"/>
  <c r="L57" i="2"/>
  <c r="I249" i="2"/>
  <c r="I62" i="2"/>
  <c r="J58" i="2"/>
  <c r="S57" i="2"/>
  <c r="J61" i="2"/>
  <c r="J248" i="2"/>
  <c r="M212" i="2"/>
  <c r="M211" i="2" s="1"/>
  <c r="N216" i="2"/>
  <c r="N115" i="2"/>
  <c r="O116" i="2"/>
  <c r="O115" i="2" s="1"/>
  <c r="O122" i="2" s="1"/>
  <c r="O49" i="2"/>
  <c r="O48" i="2" s="1"/>
  <c r="N48" i="2"/>
  <c r="M213" i="2"/>
  <c r="K30" i="2"/>
  <c r="K57" i="2"/>
  <c r="N224" i="2"/>
  <c r="N225" i="2" s="1"/>
  <c r="M122" i="2"/>
  <c r="L190" i="2"/>
  <c r="L240" i="2" s="1"/>
  <c r="N37" i="2"/>
  <c r="O38" i="2"/>
  <c r="O37" i="2" s="1"/>
  <c r="O55" i="2" s="1"/>
  <c r="O194" i="2"/>
  <c r="O192" i="2" s="1"/>
  <c r="N192" i="2"/>
  <c r="N217" i="2" s="1"/>
  <c r="O175" i="2"/>
  <c r="O178" i="2" s="1"/>
  <c r="N178" i="2"/>
  <c r="N229" i="2" s="1"/>
  <c r="O152" i="2"/>
  <c r="O151" i="2" s="1"/>
  <c r="N151" i="2"/>
  <c r="O198" i="2"/>
  <c r="O216" i="2"/>
  <c r="M198" i="2"/>
  <c r="N28" i="2"/>
  <c r="M25" i="2"/>
  <c r="M133" i="2" s="1"/>
  <c r="M238" i="2" s="1"/>
  <c r="N197" i="2"/>
  <c r="N23" i="2"/>
  <c r="M141" i="2"/>
  <c r="M239" i="2" s="1"/>
  <c r="M29" i="2"/>
  <c r="M89" i="2"/>
  <c r="N140" i="2"/>
  <c r="M134" i="2"/>
  <c r="O167" i="2"/>
  <c r="G200" i="2"/>
  <c r="G255" i="2"/>
  <c r="L72" i="2"/>
  <c r="L90" i="2"/>
  <c r="L92" i="2" s="1"/>
  <c r="G206" i="2"/>
  <c r="G234" i="2" s="1"/>
  <c r="F161" i="2"/>
  <c r="O181" i="2"/>
  <c r="O230" i="2" s="1"/>
  <c r="N230" i="2"/>
  <c r="N55" i="2"/>
  <c r="L248" i="2"/>
  <c r="O197" i="2"/>
  <c r="O23" i="2"/>
  <c r="L141" i="2"/>
  <c r="L239" i="2" s="1"/>
  <c r="I170" i="2"/>
  <c r="H228" i="2"/>
  <c r="H231" i="2" s="1"/>
  <c r="H233" i="2" s="1"/>
  <c r="H172" i="2"/>
  <c r="M80" i="2"/>
  <c r="N83" i="2"/>
  <c r="F235" i="2"/>
  <c r="L93" i="2" l="1"/>
  <c r="L95" i="2" s="1"/>
  <c r="K209" i="2"/>
  <c r="K220" i="2" s="1"/>
  <c r="K171" i="2"/>
  <c r="K96" i="2"/>
  <c r="H200" i="2"/>
  <c r="H255" i="2"/>
  <c r="O140" i="2"/>
  <c r="O134" i="2" s="1"/>
  <c r="N134" i="2"/>
  <c r="K58" i="2"/>
  <c r="K61" i="2"/>
  <c r="K248" i="2"/>
  <c r="N190" i="2"/>
  <c r="N240" i="2" s="1"/>
  <c r="O217" i="2"/>
  <c r="M190" i="2"/>
  <c r="M240" i="2" s="1"/>
  <c r="M241" i="2" s="1"/>
  <c r="L61" i="2"/>
  <c r="L58" i="2"/>
  <c r="J170" i="2"/>
  <c r="I228" i="2"/>
  <c r="I231" i="2" s="1"/>
  <c r="I233" i="2" s="1"/>
  <c r="I172" i="2"/>
  <c r="M57" i="2"/>
  <c r="M30" i="2"/>
  <c r="J249" i="2"/>
  <c r="J62" i="2"/>
  <c r="O229" i="2"/>
  <c r="N198" i="2"/>
  <c r="N29" i="2"/>
  <c r="N141" i="2"/>
  <c r="N239" i="2" s="1"/>
  <c r="N89" i="2"/>
  <c r="O29" i="2"/>
  <c r="O89" i="2"/>
  <c r="L241" i="2"/>
  <c r="O83" i="2"/>
  <c r="O80" i="2" s="1"/>
  <c r="N80" i="2"/>
  <c r="F163" i="2"/>
  <c r="F247" i="2"/>
  <c r="F246" i="2"/>
  <c r="M90" i="2"/>
  <c r="M92" i="2" s="1"/>
  <c r="M72" i="2"/>
  <c r="G156" i="2"/>
  <c r="G155" i="2" s="1"/>
  <c r="G235" i="2" s="1"/>
  <c r="N213" i="2"/>
  <c r="O28" i="2"/>
  <c r="O25" i="2" s="1"/>
  <c r="O133" i="2" s="1"/>
  <c r="O238" i="2" s="1"/>
  <c r="N25" i="2"/>
  <c r="N133" i="2" s="1"/>
  <c r="N238" i="2" s="1"/>
  <c r="O224" i="2"/>
  <c r="O225" i="2" s="1"/>
  <c r="N122" i="2"/>
  <c r="N212" i="2"/>
  <c r="L209" i="2" l="1"/>
  <c r="L220" i="2" s="1"/>
  <c r="L171" i="2"/>
  <c r="L96" i="2"/>
  <c r="N57" i="2"/>
  <c r="N30" i="2"/>
  <c r="N248" i="2"/>
  <c r="M93" i="2"/>
  <c r="M95" i="2"/>
  <c r="K170" i="2"/>
  <c r="J228" i="2"/>
  <c r="J231" i="2" s="1"/>
  <c r="J233" i="2" s="1"/>
  <c r="J172" i="2"/>
  <c r="M61" i="2"/>
  <c r="M58" i="2"/>
  <c r="N211" i="2"/>
  <c r="I200" i="2"/>
  <c r="I255" i="2"/>
  <c r="O30" i="2"/>
  <c r="O57" i="2"/>
  <c r="O141" i="2"/>
  <c r="O239" i="2" s="1"/>
  <c r="K249" i="2"/>
  <c r="K62" i="2"/>
  <c r="O190" i="2"/>
  <c r="O240" i="2" s="1"/>
  <c r="N72" i="2"/>
  <c r="N90" i="2"/>
  <c r="N92" i="2" s="1"/>
  <c r="O90" i="2"/>
  <c r="O92" i="2" s="1"/>
  <c r="O72" i="2"/>
  <c r="L249" i="2"/>
  <c r="L62" i="2"/>
  <c r="H206" i="2"/>
  <c r="H234" i="2" s="1"/>
  <c r="G161" i="2"/>
  <c r="N241" i="2"/>
  <c r="F202" i="2"/>
  <c r="F254" i="2"/>
  <c r="F256" i="2"/>
  <c r="F201" i="2"/>
  <c r="O213" i="2"/>
  <c r="O211" i="2" s="1"/>
  <c r="M248" i="2"/>
  <c r="N93" i="2" l="1"/>
  <c r="N95" i="2"/>
  <c r="O93" i="2"/>
  <c r="O95" i="2" s="1"/>
  <c r="O61" i="2"/>
  <c r="O58" i="2"/>
  <c r="O248" i="2"/>
  <c r="L170" i="2"/>
  <c r="K228" i="2"/>
  <c r="K231" i="2" s="1"/>
  <c r="K233" i="2" s="1"/>
  <c r="K172" i="2"/>
  <c r="J200" i="2"/>
  <c r="J255" i="2"/>
  <c r="H156" i="2"/>
  <c r="H155" i="2" s="1"/>
  <c r="O241" i="2"/>
  <c r="M171" i="2"/>
  <c r="M209" i="2"/>
  <c r="M220" i="2" s="1"/>
  <c r="M96" i="2"/>
  <c r="G163" i="2"/>
  <c r="G247" i="2"/>
  <c r="G246" i="2"/>
  <c r="N58" i="2"/>
  <c r="N61" i="2"/>
  <c r="M249" i="2"/>
  <c r="M62" i="2"/>
  <c r="O209" i="2" l="1"/>
  <c r="O220" i="2" s="1"/>
  <c r="O171" i="2"/>
  <c r="O96" i="2"/>
  <c r="G254" i="2"/>
  <c r="G256" i="2"/>
  <c r="G201" i="2"/>
  <c r="O249" i="2"/>
  <c r="O62" i="2"/>
  <c r="K200" i="2"/>
  <c r="K255" i="2"/>
  <c r="N171" i="2"/>
  <c r="N96" i="2"/>
  <c r="N209" i="2"/>
  <c r="N220" i="2" s="1"/>
  <c r="I206" i="2"/>
  <c r="I234" i="2" s="1"/>
  <c r="H161" i="2"/>
  <c r="H235" i="2"/>
  <c r="N249" i="2"/>
  <c r="N62" i="2"/>
  <c r="M170" i="2"/>
  <c r="L172" i="2"/>
  <c r="L228" i="2"/>
  <c r="L231" i="2" s="1"/>
  <c r="L233" i="2" s="1"/>
  <c r="L200" i="2" l="1"/>
  <c r="L255" i="2"/>
  <c r="H247" i="2"/>
  <c r="H246" i="2"/>
  <c r="H163" i="2"/>
  <c r="N170" i="2"/>
  <c r="M172" i="2"/>
  <c r="M228" i="2"/>
  <c r="M231" i="2" s="1"/>
  <c r="M233" i="2" s="1"/>
  <c r="I156" i="2"/>
  <c r="I155" i="2" s="1"/>
  <c r="H254" i="2" l="1"/>
  <c r="H256" i="2"/>
  <c r="H201" i="2"/>
  <c r="M200" i="2"/>
  <c r="M255" i="2"/>
  <c r="J206" i="2"/>
  <c r="J234" i="2" s="1"/>
  <c r="I161" i="2"/>
  <c r="I235" i="2"/>
  <c r="O170" i="2"/>
  <c r="N172" i="2"/>
  <c r="N228" i="2"/>
  <c r="N231" i="2" s="1"/>
  <c r="N233" i="2" s="1"/>
  <c r="I247" i="2" l="1"/>
  <c r="I246" i="2"/>
  <c r="I163" i="2"/>
  <c r="N200" i="2"/>
  <c r="N255" i="2"/>
  <c r="J156" i="2"/>
  <c r="J155" i="2" s="1"/>
  <c r="J235" i="2" s="1"/>
  <c r="O172" i="2"/>
  <c r="O228" i="2"/>
  <c r="O231" i="2" s="1"/>
  <c r="O233" i="2" s="1"/>
  <c r="I254" i="2" l="1"/>
  <c r="I256" i="2"/>
  <c r="I201" i="2"/>
  <c r="K206" i="2"/>
  <c r="K234" i="2" s="1"/>
  <c r="J161" i="2"/>
  <c r="O200" i="2"/>
  <c r="O255" i="2"/>
  <c r="K156" i="2" l="1"/>
  <c r="K155" i="2" s="1"/>
  <c r="K235" i="2" s="1"/>
  <c r="J246" i="2"/>
  <c r="J163" i="2"/>
  <c r="J247" i="2"/>
  <c r="L206" i="2" l="1"/>
  <c r="L234" i="2" s="1"/>
  <c r="K161" i="2"/>
  <c r="J254" i="2"/>
  <c r="J256" i="2"/>
  <c r="J201" i="2"/>
  <c r="K246" i="2" l="1"/>
  <c r="K247" i="2"/>
  <c r="K163" i="2"/>
  <c r="L156" i="2"/>
  <c r="L155" i="2" s="1"/>
  <c r="L235" i="2" s="1"/>
  <c r="K254" i="2" l="1"/>
  <c r="K256" i="2"/>
  <c r="K201" i="2"/>
  <c r="M206" i="2"/>
  <c r="M234" i="2" s="1"/>
  <c r="L161" i="2"/>
  <c r="M156" i="2" l="1"/>
  <c r="M155" i="2" s="1"/>
  <c r="M235" i="2" s="1"/>
  <c r="L246" i="2"/>
  <c r="L163" i="2"/>
  <c r="L247" i="2"/>
  <c r="L254" i="2" l="1"/>
  <c r="L256" i="2"/>
  <c r="L201" i="2"/>
  <c r="N206" i="2"/>
  <c r="N234" i="2" s="1"/>
  <c r="M161" i="2"/>
  <c r="M163" i="2" l="1"/>
  <c r="M247" i="2"/>
  <c r="M246" i="2"/>
  <c r="N156" i="2"/>
  <c r="N155" i="2" s="1"/>
  <c r="O206" i="2" l="1"/>
  <c r="O234" i="2" s="1"/>
  <c r="N161" i="2"/>
  <c r="N235" i="2"/>
  <c r="M254" i="2"/>
  <c r="M256" i="2"/>
  <c r="M201" i="2"/>
  <c r="N163" i="2" l="1"/>
  <c r="N247" i="2"/>
  <c r="N246" i="2"/>
  <c r="O156" i="2"/>
  <c r="O155" i="2" s="1"/>
  <c r="O161" i="2" s="1"/>
  <c r="O163" i="2" l="1"/>
  <c r="O247" i="2"/>
  <c r="O246" i="2"/>
  <c r="O235" i="2"/>
  <c r="N254" i="2"/>
  <c r="N256" i="2"/>
  <c r="N201" i="2"/>
  <c r="O254" i="2" l="1"/>
  <c r="O256" i="2"/>
  <c r="O201" i="2"/>
</calcChain>
</file>

<file path=xl/sharedStrings.xml><?xml version="1.0" encoding="utf-8"?>
<sst xmlns="http://schemas.openxmlformats.org/spreadsheetml/2006/main" count="623" uniqueCount="555">
  <si>
    <t>SARAJEVSKA PIVARA DD SARAJEVO</t>
  </si>
  <si>
    <t>SARAJEVSKA PIVARA D.D.</t>
  </si>
  <si>
    <t>BIZNIS PLAN 2025-2035</t>
  </si>
  <si>
    <t>Profit and Loss Statement</t>
  </si>
  <si>
    <t>Bilans uspjeha</t>
  </si>
  <si>
    <t>plan</t>
  </si>
  <si>
    <t>in 'KM</t>
  </si>
  <si>
    <t>u KM</t>
  </si>
  <si>
    <t xml:space="preserve"> </t>
  </si>
  <si>
    <t>Revenues</t>
  </si>
  <si>
    <t xml:space="preserve">Prihodi </t>
  </si>
  <si>
    <t>Revenue from sale of goods</t>
  </si>
  <si>
    <t>Prihodi od Prodaje robe</t>
  </si>
  <si>
    <t>PRODAJA ROBE - POVEZANA</t>
  </si>
  <si>
    <t>- Related parties</t>
  </si>
  <si>
    <t xml:space="preserve"> - Povezana lica</t>
  </si>
  <si>
    <t>PRODAJA ROBE - MALO</t>
  </si>
  <si>
    <t>- Retail</t>
  </si>
  <si>
    <t xml:space="preserve"> - Maloprodaja</t>
  </si>
  <si>
    <t>PRODAJA ROBE - VELE</t>
  </si>
  <si>
    <t>- Wholesale</t>
  </si>
  <si>
    <t xml:space="preserve"> - Veleprodaja</t>
  </si>
  <si>
    <t>PRODAJA ROBE - OSTALO</t>
  </si>
  <si>
    <t>- Other</t>
  </si>
  <si>
    <t xml:space="preserve"> - Ostalo</t>
  </si>
  <si>
    <t>Revenue from sale of own products</t>
  </si>
  <si>
    <t>Prihod od prodaje vlastitih proizvoda</t>
  </si>
  <si>
    <t>PRODAJA PROIZVODA - POVEZANA</t>
  </si>
  <si>
    <t>PRODAJA PROIZVODA - MALO</t>
  </si>
  <si>
    <t>PRODAJA PROIZVODA - VELE</t>
  </si>
  <si>
    <t>PRODAJA PROIZVODA - STRANO</t>
  </si>
  <si>
    <t>- Foreign markets</t>
  </si>
  <si>
    <t xml:space="preserve"> - Strano tržište</t>
  </si>
  <si>
    <t>PRODAJA PROIZOVDA - OSTALO</t>
  </si>
  <si>
    <t>PRIHOD - UGOSTITELJSTVO</t>
  </si>
  <si>
    <t>Revenue from hospitality service</t>
  </si>
  <si>
    <t>Prihodi od ugostiteljstva</t>
  </si>
  <si>
    <t>PRIHOD - IZNAJMLJIVANJE</t>
  </si>
  <si>
    <t>Rental income</t>
  </si>
  <si>
    <t>Prihodi od iznajmljivanja nekretnina</t>
  </si>
  <si>
    <t>PRIHOD - USLUGE</t>
  </si>
  <si>
    <t>Revenue from services</t>
  </si>
  <si>
    <t>Prihodi od usluga</t>
  </si>
  <si>
    <t>PRIHOD - OSTALO</t>
  </si>
  <si>
    <t>Other revenues</t>
  </si>
  <si>
    <t>Ostali prihodi</t>
  </si>
  <si>
    <t>Total revenues</t>
  </si>
  <si>
    <t xml:space="preserve">Ukupno prihodi </t>
  </si>
  <si>
    <t>Cost of goods sold</t>
  </si>
  <si>
    <t>Trošak prodaje</t>
  </si>
  <si>
    <t>TROSAK PRODAJE - ROBA</t>
  </si>
  <si>
    <t>- Goods</t>
  </si>
  <si>
    <t xml:space="preserve"> - Roba</t>
  </si>
  <si>
    <t>TROSAK PRODAJE - PROIZVODI</t>
  </si>
  <si>
    <t>- Own products</t>
  </si>
  <si>
    <t xml:space="preserve"> - Vlastiti proizvodi</t>
  </si>
  <si>
    <t>OBRACUN PROIZVODNJE</t>
  </si>
  <si>
    <t xml:space="preserve"> - (Increase) / decrease in inventories</t>
  </si>
  <si>
    <t xml:space="preserve"> - Povecanje / smanjenje zaliha</t>
  </si>
  <si>
    <t>Gross margin</t>
  </si>
  <si>
    <t>Bruto marža</t>
  </si>
  <si>
    <t>NGM%</t>
  </si>
  <si>
    <t>BM%</t>
  </si>
  <si>
    <t>Operating expenses</t>
  </si>
  <si>
    <t>Operativni troškovi</t>
  </si>
  <si>
    <t>Material costs</t>
  </si>
  <si>
    <t>Materijalni troškovi</t>
  </si>
  <si>
    <t>TROSAK - SIROVINE</t>
  </si>
  <si>
    <t xml:space="preserve"> - Raw materials </t>
  </si>
  <si>
    <t xml:space="preserve"> - Troškovi sirovina i materijala</t>
  </si>
  <si>
    <t>TROSAK - ENERGIJA</t>
  </si>
  <si>
    <t xml:space="preserve"> - Energy</t>
  </si>
  <si>
    <t xml:space="preserve"> - Potrošena energija</t>
  </si>
  <si>
    <t>TROSAK - REZERVNI DIJELOVI</t>
  </si>
  <si>
    <t xml:space="preserve"> - Spare parts</t>
  </si>
  <si>
    <t xml:space="preserve"> - Troškovi rezervnih dijelova</t>
  </si>
  <si>
    <t>TROSAK - SITAN INVENTAR</t>
  </si>
  <si>
    <t xml:space="preserve"> - Small tools</t>
  </si>
  <si>
    <t xml:space="preserve"> - Sitni inventar </t>
  </si>
  <si>
    <t>Services costs</t>
  </si>
  <si>
    <t>Troškovi usluga</t>
  </si>
  <si>
    <t>TROSAK - PRIJEVOZ</t>
  </si>
  <si>
    <t xml:space="preserve"> - Transportation cost</t>
  </si>
  <si>
    <t xml:space="preserve"> - Prijevozne usluge</t>
  </si>
  <si>
    <t>TROSAK - PTT</t>
  </si>
  <si>
    <t xml:space="preserve"> - Telecommunication expenses</t>
  </si>
  <si>
    <t xml:space="preserve"> - Poštanske i telekomunikacijske usluge</t>
  </si>
  <si>
    <t>TROSAK - ODRZAVANJE</t>
  </si>
  <si>
    <t xml:space="preserve"> - Maintenance cost</t>
  </si>
  <si>
    <t xml:space="preserve"> - Usluge održavanje </t>
  </si>
  <si>
    <t>TROSAK - RENTA</t>
  </si>
  <si>
    <t xml:space="preserve"> - Rent</t>
  </si>
  <si>
    <t xml:space="preserve"> - Renta</t>
  </si>
  <si>
    <t>TROSAK - MARKETING</t>
  </si>
  <si>
    <t xml:space="preserve"> - Marketing costs</t>
  </si>
  <si>
    <t xml:space="preserve"> - Marketing</t>
  </si>
  <si>
    <t>TROSAK - INTELEKTUALNE USLUGE</t>
  </si>
  <si>
    <t xml:space="preserve"> - Professional services</t>
  </si>
  <si>
    <t xml:space="preserve"> - Intelektualne i istraživačke usluge</t>
  </si>
  <si>
    <t>TROSAK - OSTALE USLUGE</t>
  </si>
  <si>
    <t xml:space="preserve"> - Other services</t>
  </si>
  <si>
    <t xml:space="preserve"> - Ostale usluge</t>
  </si>
  <si>
    <t>Personnel costs</t>
  </si>
  <si>
    <t>Troškovi osoblja</t>
  </si>
  <si>
    <t>TROSAK - PLATE</t>
  </si>
  <si>
    <t xml:space="preserve"> - Gross salaries</t>
  </si>
  <si>
    <t xml:space="preserve"> - Bruto plaća</t>
  </si>
  <si>
    <t>TROSAK - OSTALI TROSKOVI ZAPOSLENIH</t>
  </si>
  <si>
    <t xml:space="preserve"> - Other personnel costs</t>
  </si>
  <si>
    <t xml:space="preserve"> - Ostali troskovi osoblja</t>
  </si>
  <si>
    <t>Other operating expenses</t>
  </si>
  <si>
    <t>Ostali operativni troškovi</t>
  </si>
  <si>
    <t>TROSAK - SLUZBENA PUTOVANJA</t>
  </si>
  <si>
    <t xml:space="preserve"> - Per diems &amp; travel expenses</t>
  </si>
  <si>
    <t xml:space="preserve"> - Dnevnice i troškovi službenih putovanja</t>
  </si>
  <si>
    <t>TROSAK - OSIGURANJE</t>
  </si>
  <si>
    <t xml:space="preserve"> - Insurance costs</t>
  </si>
  <si>
    <t xml:space="preserve"> - Osiguranje</t>
  </si>
  <si>
    <t>TROSAK - OSTALI POREZI</t>
  </si>
  <si>
    <t xml:space="preserve"> - Non-business related taxes, membership fees &amp; contributions</t>
  </si>
  <si>
    <t xml:space="preserve"> - Ostali porezi, doprinosi I clanarine</t>
  </si>
  <si>
    <t>TROSAK - BANKARSKE NAKNADE</t>
  </si>
  <si>
    <t xml:space="preserve"> - Bank fees</t>
  </si>
  <si>
    <t xml:space="preserve"> - Bankovne naknade</t>
  </si>
  <si>
    <t>TROSAK - REPREZENTACIJA</t>
  </si>
  <si>
    <t xml:space="preserve"> - Entertainment</t>
  </si>
  <si>
    <t xml:space="preserve"> - Troškovi reprezentacije</t>
  </si>
  <si>
    <t>TROSAK - OSTALO</t>
  </si>
  <si>
    <t xml:space="preserve"> - Other operating expenses</t>
  </si>
  <si>
    <t xml:space="preserve"> - Ostali operativni troškovi</t>
  </si>
  <si>
    <t>Total operating expenses</t>
  </si>
  <si>
    <t>Ukupni operativni troškovi</t>
  </si>
  <si>
    <t>EBITDA</t>
  </si>
  <si>
    <t>EBITDA %</t>
  </si>
  <si>
    <t>AMORTIZACIJA</t>
  </si>
  <si>
    <t>Depreciation</t>
  </si>
  <si>
    <t>Amortizacija</t>
  </si>
  <si>
    <t>EBIT</t>
  </si>
  <si>
    <t>EBIT %</t>
  </si>
  <si>
    <t>Financial result</t>
  </si>
  <si>
    <t>Financijski rezultat</t>
  </si>
  <si>
    <t>Financial income</t>
  </si>
  <si>
    <t>Financijski prihodi</t>
  </si>
  <si>
    <t>FIN PRIHOD - KAMATE</t>
  </si>
  <si>
    <t xml:space="preserve"> - Interest income</t>
  </si>
  <si>
    <t xml:space="preserve"> - Prihodi od kamata</t>
  </si>
  <si>
    <t>FIN PRIHOD - KURSNE RAZLIKE</t>
  </si>
  <si>
    <t xml:space="preserve"> - Foreign exchange gains</t>
  </si>
  <si>
    <t xml:space="preserve"> - Prihodi od tečajnih razlika</t>
  </si>
  <si>
    <t>FIN PRIHOD - OSTALO</t>
  </si>
  <si>
    <t xml:space="preserve"> - Other financial income</t>
  </si>
  <si>
    <t xml:space="preserve"> - Ostali finansijski prihodi</t>
  </si>
  <si>
    <t>Financial expenses</t>
  </si>
  <si>
    <t>Financijski troškovi</t>
  </si>
  <si>
    <t>FIN TROSAK - KAMATE</t>
  </si>
  <si>
    <t xml:space="preserve"> - Interest expense</t>
  </si>
  <si>
    <t xml:space="preserve"> - Kamate</t>
  </si>
  <si>
    <t>FIN TROSAK - KURSNE RAZLIKE</t>
  </si>
  <si>
    <t xml:space="preserve"> - Foreign exchange losses</t>
  </si>
  <si>
    <t xml:space="preserve"> - Troškovi od tečajnih razlika</t>
  </si>
  <si>
    <t>FIN TROSAK - OSTALO</t>
  </si>
  <si>
    <t xml:space="preserve"> - Other financial expenses</t>
  </si>
  <si>
    <t xml:space="preserve"> - Ostali finansijski rashodi</t>
  </si>
  <si>
    <t>Extraordinary result</t>
  </si>
  <si>
    <t>Izvanredni rezultat</t>
  </si>
  <si>
    <t>Extraordinary income</t>
  </si>
  <si>
    <t>Izvanredni prihod</t>
  </si>
  <si>
    <t>OSTALI PRIHOD - PRODAJA MATERIJALA</t>
  </si>
  <si>
    <t xml:space="preserve"> - Revenues from sales of material</t>
  </si>
  <si>
    <t xml:space="preserve"> - Prihodi od prodaje materijala</t>
  </si>
  <si>
    <t>OSTALI PRIHOD - DOBITAK OD PRODAJE SS</t>
  </si>
  <si>
    <t xml:space="preserve"> - Gain on sale of fixed assets</t>
  </si>
  <si>
    <t xml:space="preserve"> - Dobitak od prodaje stalnih sredstava</t>
  </si>
  <si>
    <t>OSTALI PRIHOD - VISKOVI</t>
  </si>
  <si>
    <t xml:space="preserve"> - Surpluses</t>
  </si>
  <si>
    <t xml:space="preserve"> - Viskovi</t>
  </si>
  <si>
    <t>OSTALI PRIHOD - NAPLACENA OTPISANA POTR</t>
  </si>
  <si>
    <t xml:space="preserve"> - Collected written off receivables</t>
  </si>
  <si>
    <t xml:space="preserve"> - Naplaćena otpisana potraživanja</t>
  </si>
  <si>
    <t>OSTALI PRIHOD - REVALORIZACIJA</t>
  </si>
  <si>
    <t xml:space="preserve"> - Revaluation</t>
  </si>
  <si>
    <t xml:space="preserve"> - Revalorizacija</t>
  </si>
  <si>
    <t>OSTALI PRIHOD - OSTALO</t>
  </si>
  <si>
    <t xml:space="preserve"> - Other extraordinary income</t>
  </si>
  <si>
    <t xml:space="preserve"> - Ostali izvanredni prihodi</t>
  </si>
  <si>
    <t>Extraordinary expenses</t>
  </si>
  <si>
    <t>Izvanredni troškovi</t>
  </si>
  <si>
    <t>OSTALI TROSAK - GUBITAK OD PRODAJE SS</t>
  </si>
  <si>
    <t xml:space="preserve"> - Loss on sale of fixed assets</t>
  </si>
  <si>
    <t xml:space="preserve"> - Gubitak od prodaje stalnih sredstava</t>
  </si>
  <si>
    <t>OSTALI TROSAK - MANJKOVI</t>
  </si>
  <si>
    <t xml:space="preserve"> - Shortages</t>
  </si>
  <si>
    <t xml:space="preserve"> - Manjkovi</t>
  </si>
  <si>
    <t>OSTALI TROSAK - RABATI</t>
  </si>
  <si>
    <t xml:space="preserve"> - Subsequently approved discounts</t>
  </si>
  <si>
    <t xml:space="preserve"> - Naknadno odobreni rabati</t>
  </si>
  <si>
    <t>OSTALI TROSAK - OTPIS I UMANJENJE POTRAZIVANJA</t>
  </si>
  <si>
    <t xml:space="preserve"> - Allowance for bad and doubtful receivables</t>
  </si>
  <si>
    <t xml:space="preserve"> - Otpis i umanjenje vrijednosti potrazivanja</t>
  </si>
  <si>
    <t>OSTALI TROSAK - UMANJENJE ZALIHA</t>
  </si>
  <si>
    <t xml:space="preserve"> - Inventory impairment</t>
  </si>
  <si>
    <t xml:space="preserve"> - Umanjenje vrijednosti zaliha</t>
  </si>
  <si>
    <t>OSTALI TROSAK - DONACIJE</t>
  </si>
  <si>
    <t xml:space="preserve"> - Donations</t>
  </si>
  <si>
    <t xml:space="preserve"> - Donacije</t>
  </si>
  <si>
    <t>OSTALI TROSAK - KAZNE</t>
  </si>
  <si>
    <t xml:space="preserve"> - Fines and penalties</t>
  </si>
  <si>
    <t xml:space="preserve"> - Kazne, penali </t>
  </si>
  <si>
    <t>OSTALI TROSAK - OSTALO</t>
  </si>
  <si>
    <t xml:space="preserve"> - Other expenses</t>
  </si>
  <si>
    <t xml:space="preserve"> - Ostali rashodi</t>
  </si>
  <si>
    <t>Total income</t>
  </si>
  <si>
    <t>Ukupni prihodi</t>
  </si>
  <si>
    <t>Total expenses</t>
  </si>
  <si>
    <t>Ukupni troškovi</t>
  </si>
  <si>
    <t>Income before Tax</t>
  </si>
  <si>
    <t>Dobit prije oporezivanja</t>
  </si>
  <si>
    <t>POREZ</t>
  </si>
  <si>
    <t>Taxation</t>
  </si>
  <si>
    <t>Porez</t>
  </si>
  <si>
    <t>Net income</t>
  </si>
  <si>
    <t>Neto dobit</t>
  </si>
  <si>
    <t>Net income %</t>
  </si>
  <si>
    <t>Neto dobit %</t>
  </si>
  <si>
    <t>Bilans stanja i uspjeha provjera</t>
  </si>
  <si>
    <t>Balance Sheet Statement</t>
  </si>
  <si>
    <t xml:space="preserve">Bilanca Stanja </t>
  </si>
  <si>
    <t>Fixed assets</t>
  </si>
  <si>
    <t>Dugotrajna imovina</t>
  </si>
  <si>
    <t>Intangible assets</t>
  </si>
  <si>
    <t>Nematerijalna imovina</t>
  </si>
  <si>
    <t>PATENTI I LICENCE</t>
  </si>
  <si>
    <t xml:space="preserve"> - Licenses</t>
  </si>
  <si>
    <t xml:space="preserve"> - Patenti,licence i zaštitni znakovi</t>
  </si>
  <si>
    <t>SOFTWARE</t>
  </si>
  <si>
    <t xml:space="preserve"> - Software</t>
  </si>
  <si>
    <t xml:space="preserve"> - Software i ostala prava</t>
  </si>
  <si>
    <t>NEMATERIJALNA SREDSTVA U PRIPREMI</t>
  </si>
  <si>
    <t xml:space="preserve"> - Intangible assets in progress</t>
  </si>
  <si>
    <t xml:space="preserve"> - Nematerijalna sredstva u pripremi</t>
  </si>
  <si>
    <t>OSTALA NEMATERIJALNA SREDSTVA</t>
  </si>
  <si>
    <t xml:space="preserve"> - Other intengible assets</t>
  </si>
  <si>
    <t xml:space="preserve"> - Ostala stalna nematerijalna sredstva</t>
  </si>
  <si>
    <t>Tangible assets</t>
  </si>
  <si>
    <t>Materijalna imovina</t>
  </si>
  <si>
    <t>ZEMLJISTE</t>
  </si>
  <si>
    <t xml:space="preserve"> - Land</t>
  </si>
  <si>
    <t xml:space="preserve"> - Zemljište</t>
  </si>
  <si>
    <t>GRADJEVINE</t>
  </si>
  <si>
    <t xml:space="preserve"> - Buildings</t>
  </si>
  <si>
    <t xml:space="preserve"> - Građevine</t>
  </si>
  <si>
    <t>POSTROJENJA I OPREMA</t>
  </si>
  <si>
    <t xml:space="preserve"> - Equipment</t>
  </si>
  <si>
    <t xml:space="preserve"> - Postrojenja i oprema</t>
  </si>
  <si>
    <t>VOZILA</t>
  </si>
  <si>
    <t xml:space="preserve"> - Vehicles</t>
  </si>
  <si>
    <t xml:space="preserve"> - Vozila</t>
  </si>
  <si>
    <t>MATERIJALNA IMOVINA U PRIPREMI</t>
  </si>
  <si>
    <t xml:space="preserve"> - Tangible assets in progress</t>
  </si>
  <si>
    <t xml:space="preserve"> - Materijalna imovina u pripremi</t>
  </si>
  <si>
    <t>Long-term financial Assets</t>
  </si>
  <si>
    <t>Dugoročna financijska imovina</t>
  </si>
  <si>
    <t>UCESCA U KAPITALU POVEZANIH LICA</t>
  </si>
  <si>
    <t xml:space="preserve"> - Investment in subsidiaries</t>
  </si>
  <si>
    <t xml:space="preserve"> - Učešća u kapitalu povezanih pravnih lica</t>
  </si>
  <si>
    <t>UCESCA U KAPITALU DRUGIH PRAVNIH LICA</t>
  </si>
  <si>
    <t xml:space="preserve"> - Investment in other third parties</t>
  </si>
  <si>
    <t xml:space="preserve"> - Učešća u kapitalu drugih pravnih lica</t>
  </si>
  <si>
    <t>DATI DUGOROCNI KREDITI - POVEZANA LICA</t>
  </si>
  <si>
    <t xml:space="preserve"> - Given long term loans - related parties</t>
  </si>
  <si>
    <t xml:space="preserve"> - Dugoročni krediti - povezana lica</t>
  </si>
  <si>
    <t>DATI DUGOROCNI KREDITI - OSTALA PRAVNA LICA</t>
  </si>
  <si>
    <t xml:space="preserve"> - Given long term loans - other companies and individuals</t>
  </si>
  <si>
    <t xml:space="preserve"> - Dugoročni krediti - ostala pravna lica</t>
  </si>
  <si>
    <t>ISPRAVKA VRIJEDNOSTI DUGOROCNIH PLASMANA</t>
  </si>
  <si>
    <t xml:space="preserve"> - Impairment of long term financial receivables</t>
  </si>
  <si>
    <t xml:space="preserve"> - Ispravka vrijednosti dugoročnih finansijskih plasmana</t>
  </si>
  <si>
    <t>OSTALA DUGOROCNA POTRAZIVANJA</t>
  </si>
  <si>
    <t>Accruals</t>
  </si>
  <si>
    <t>Druga dugoročna potraživanja</t>
  </si>
  <si>
    <t>Total fixed assets</t>
  </si>
  <si>
    <t>Ukupno dugotrajna imovina</t>
  </si>
  <si>
    <t>Current assets</t>
  </si>
  <si>
    <t>Kratkotrajna imovina</t>
  </si>
  <si>
    <t>Inventories</t>
  </si>
  <si>
    <t>Zalihe</t>
  </si>
  <si>
    <t>SIROVINE I MATERIJAL</t>
  </si>
  <si>
    <t xml:space="preserve"> - Raw materials</t>
  </si>
  <si>
    <t xml:space="preserve"> - Sirovine i materijal</t>
  </si>
  <si>
    <t>PROIZVODNJA U TOKU</t>
  </si>
  <si>
    <t xml:space="preserve"> - Work in progress</t>
  </si>
  <si>
    <t xml:space="preserve"> - Poluproizvodi i proizvodnja u toku</t>
  </si>
  <si>
    <t>GOTOVI PROIZVODI</t>
  </si>
  <si>
    <t xml:space="preserve"> - Own products</t>
  </si>
  <si>
    <t xml:space="preserve"> - Gotovi proizvodi</t>
  </si>
  <si>
    <t>TRGOVACKA ROBA</t>
  </si>
  <si>
    <t xml:space="preserve"> - Goods</t>
  </si>
  <si>
    <t xml:space="preserve"> - Trgovačka roba</t>
  </si>
  <si>
    <t>REZERVNI DIJELOVI</t>
  </si>
  <si>
    <t xml:space="preserve"> - Rezervni dijelovi</t>
  </si>
  <si>
    <t>SITAN INVENTAR</t>
  </si>
  <si>
    <t xml:space="preserve"> - Sitan inventar</t>
  </si>
  <si>
    <t>OSTALE ZALIHE</t>
  </si>
  <si>
    <t xml:space="preserve"> - Other inventory</t>
  </si>
  <si>
    <t xml:space="preserve"> - Ostale zalihe</t>
  </si>
  <si>
    <t>Number of Days in Inventory</t>
  </si>
  <si>
    <t>Broj dana u zalihama</t>
  </si>
  <si>
    <t>Accounts receivable</t>
  </si>
  <si>
    <t>Potraživanja</t>
  </si>
  <si>
    <t>KUPCI - POVEZANA LICA</t>
  </si>
  <si>
    <t xml:space="preserve"> - Receivables from related parties</t>
  </si>
  <si>
    <t xml:space="preserve"> - Potraživanja od kupaca - povezana lica</t>
  </si>
  <si>
    <t>KUPCI - DOMACI</t>
  </si>
  <si>
    <t xml:space="preserve"> - Receivables from domestic market</t>
  </si>
  <si>
    <t xml:space="preserve"> - Potraživanja od kupaca - domaći kupci</t>
  </si>
  <si>
    <t>KUPCI - STRANI</t>
  </si>
  <si>
    <t xml:space="preserve"> - Receivables from from foreign market </t>
  </si>
  <si>
    <t xml:space="preserve"> - Potraživanja od kupaca - strani kupci</t>
  </si>
  <si>
    <t>KUPCI - STARA POTRAZIVANJA</t>
  </si>
  <si>
    <t xml:space="preserve"> - Old receivables</t>
  </si>
  <si>
    <t xml:space="preserve"> - Potraživanja od kupaca - zastarjela potraživanja</t>
  </si>
  <si>
    <t>KUPCI - SUMNJIVA I SPORNA</t>
  </si>
  <si>
    <t xml:space="preserve"> - Doubtful receivables</t>
  </si>
  <si>
    <t xml:space="preserve"> - Potraživanja od kupaca - sumnjiva i sporna</t>
  </si>
  <si>
    <t>KUPCI - ISPRAVKA</t>
  </si>
  <si>
    <t xml:space="preserve"> - Impairment for doubtful receivables</t>
  </si>
  <si>
    <t xml:space="preserve"> - Ispravka vrijednosti sumnjivih i spornih potraživanja</t>
  </si>
  <si>
    <t>Receivables in days</t>
  </si>
  <si>
    <t>Broj dana u obvezama prema dobavljačima</t>
  </si>
  <si>
    <t>DATI AVANSI</t>
  </si>
  <si>
    <t>Advances paid</t>
  </si>
  <si>
    <t>Dati avansi</t>
  </si>
  <si>
    <t>Other receivables</t>
  </si>
  <si>
    <t>Ostala potraživanja</t>
  </si>
  <si>
    <t>POTRAZIVANJA - UPOSLENI</t>
  </si>
  <si>
    <t xml:space="preserve"> - Receivables from employees</t>
  </si>
  <si>
    <t xml:space="preserve"> - Potraživanja od uposlenih</t>
  </si>
  <si>
    <t>POTRAZIVANJA - VISE PLACEN POREZ</t>
  </si>
  <si>
    <t xml:space="preserve"> - Prepaid income tax</t>
  </si>
  <si>
    <t xml:space="preserve"> - Potraživanja za vise plaćen porez na dobit</t>
  </si>
  <si>
    <t>OSTALA POTRAZIVANJA OD DRZAVE</t>
  </si>
  <si>
    <t xml:space="preserve"> - Other receivables from the state</t>
  </si>
  <si>
    <t xml:space="preserve"> - Ostala potraživanja od države</t>
  </si>
  <si>
    <t>POTRAZIVANJA ZA PDV</t>
  </si>
  <si>
    <t xml:space="preserve"> - VAT receivable</t>
  </si>
  <si>
    <t xml:space="preserve"> - Potraživanja za PDV</t>
  </si>
  <si>
    <t>OSTALA KRATKOROCNA POTRAZIVANJA</t>
  </si>
  <si>
    <t xml:space="preserve"> - Other short term receivable</t>
  </si>
  <si>
    <t xml:space="preserve"> - Ostala kratkoročna potraživanja</t>
  </si>
  <si>
    <t>SUMNJIVA I SPORNA OSTALA POTRAZIVANJA</t>
  </si>
  <si>
    <t xml:space="preserve"> - Doubtful other receivables</t>
  </si>
  <si>
    <t xml:space="preserve"> - Sumnjiva i sporna ostala potraživanja</t>
  </si>
  <si>
    <t>ISPRAVKA VRIJEDNOSTI OSTALIH POTRAZIVANJA</t>
  </si>
  <si>
    <t xml:space="preserve"> - Impariment for doubtful other receivables</t>
  </si>
  <si>
    <t xml:space="preserve"> - Ispravka vrijednosti sumnjivih i spornih ostalih potraživanja</t>
  </si>
  <si>
    <t>Short-term financial assets</t>
  </si>
  <si>
    <t>Kratkoročna financijska imovina</t>
  </si>
  <si>
    <t>DATI KRATKOROCNI KREDITI - POVEZANA LICA</t>
  </si>
  <si>
    <t xml:space="preserve"> - Loans given to related parties</t>
  </si>
  <si>
    <t xml:space="preserve"> - Dati zajmovi povezanim pravnim licima</t>
  </si>
  <si>
    <t>DATI KRATKOROCNI KREDITI - OSTALA PRAVNA LICA</t>
  </si>
  <si>
    <t xml:space="preserve"> - Loans given to other parties</t>
  </si>
  <si>
    <t xml:space="preserve"> - Dati zajmovi</t>
  </si>
  <si>
    <t>DRUGI KRATKOROCNI PLASMANI</t>
  </si>
  <si>
    <t xml:space="preserve"> - Other short-term finanacial assets</t>
  </si>
  <si>
    <t xml:space="preserve"> - Drugi kratkoročni financijski plasmani</t>
  </si>
  <si>
    <t>Cash and cash equivalents</t>
  </si>
  <si>
    <t>Novac i novčani ekvivalenti</t>
  </si>
  <si>
    <t>ZIRO RACUN (KM)</t>
  </si>
  <si>
    <t xml:space="preserve"> - Cash in bank accounts (KM)</t>
  </si>
  <si>
    <t xml:space="preserve"> - Žiro računi (KM)</t>
  </si>
  <si>
    <t>BLAGAJNA (KM)</t>
  </si>
  <si>
    <t xml:space="preserve"> - Petty cash (KM)</t>
  </si>
  <si>
    <t xml:space="preserve"> - Blagajna (KM)</t>
  </si>
  <si>
    <t>ZIRO RACUN (STRANE VALUE)</t>
  </si>
  <si>
    <t xml:space="preserve"> - Cash in bank accounts (EUR)</t>
  </si>
  <si>
    <t xml:space="preserve"> - Žiro računi (strane value)</t>
  </si>
  <si>
    <t>BLAGAJNA (STRANE VALUTE)</t>
  </si>
  <si>
    <t xml:space="preserve"> - Petty cash (EUR)</t>
  </si>
  <si>
    <t xml:space="preserve"> - Blagajna (strane)</t>
  </si>
  <si>
    <t>OSTALI NOVCANI EKVIVALENTI</t>
  </si>
  <si>
    <t xml:space="preserve"> - Other cash equivalents</t>
  </si>
  <si>
    <t xml:space="preserve"> - Ostali novčani ekvivalenti</t>
  </si>
  <si>
    <t>Total current assets</t>
  </si>
  <si>
    <t>Ukupno kratkotrajna imovina</t>
  </si>
  <si>
    <t>UNAPRIJED PLACENI TROSKOVI I OBRACUNATI PRIHODI</t>
  </si>
  <si>
    <t>Plaćeni troškovi budućih razdoblja i obračunati prihodi</t>
  </si>
  <si>
    <t>Total Assets</t>
  </si>
  <si>
    <t>Ukupna imovina</t>
  </si>
  <si>
    <t>Equity &amp; reserves</t>
  </si>
  <si>
    <t>Kapital i rezerve</t>
  </si>
  <si>
    <t>UPISANI KAPITAL</t>
  </si>
  <si>
    <t>Subscribed Capital</t>
  </si>
  <si>
    <t>Upisani kapital</t>
  </si>
  <si>
    <t>ZAKONSKE REZERVE</t>
  </si>
  <si>
    <t>Reserves</t>
  </si>
  <si>
    <t>Zakonske rezerve</t>
  </si>
  <si>
    <t>REVALORIZACIONE REZERVE</t>
  </si>
  <si>
    <t>Revaluation reserves</t>
  </si>
  <si>
    <t>Revalorizacione rezerve</t>
  </si>
  <si>
    <t>NEREALIZOVANI DOBICI</t>
  </si>
  <si>
    <t>Unrealized earnings</t>
  </si>
  <si>
    <t>Nerealizovani dobici</t>
  </si>
  <si>
    <t>ZADRZANA DOBIT / GUBITAK</t>
  </si>
  <si>
    <t>Retained Earnings / Loss</t>
  </si>
  <si>
    <t>Zadržana dobit / gubitak</t>
  </si>
  <si>
    <t>DOBIT / GUBITAK TEKUCEG PERIOD</t>
  </si>
  <si>
    <t>Net Profit/Loss for the current financial year</t>
  </si>
  <si>
    <t>Neto dobit / gubitak financijske godine</t>
  </si>
  <si>
    <t>Total equity &amp; reserves</t>
  </si>
  <si>
    <t>Ukupno kapital &amp; rezerve</t>
  </si>
  <si>
    <t>Long-Term Liabilities</t>
  </si>
  <si>
    <t>Dugoročne obveze</t>
  </si>
  <si>
    <t>PRIMLJENI DUGOROCNI KREDITI OD POVEZANIH LICA</t>
  </si>
  <si>
    <t>Long term loans from related parties</t>
  </si>
  <si>
    <t>Dugoročni krediti od povezanih lica</t>
  </si>
  <si>
    <t>PRIMLJENI DUGOROCNI KREDITI</t>
  </si>
  <si>
    <t>Long term loans</t>
  </si>
  <si>
    <t>Dugoročne krediti</t>
  </si>
  <si>
    <t>FINANSIJSKI LIZING</t>
  </si>
  <si>
    <t>Financial Leasing</t>
  </si>
  <si>
    <t>Ostale dugoročne obaveze</t>
  </si>
  <si>
    <t>Total long-term liabilities</t>
  </si>
  <si>
    <t>Ukupne dugoročne obveze</t>
  </si>
  <si>
    <t>Short-Term Liabilities</t>
  </si>
  <si>
    <t>Kratkoročne obveze</t>
  </si>
  <si>
    <t>PRIMLJENI KRATKOROCNI KREDITI OD POVEZANIH LICA</t>
  </si>
  <si>
    <t>Short term loans from related parties</t>
  </si>
  <si>
    <t>Kratkoročni krediti od povezanih lica</t>
  </si>
  <si>
    <t>PRIMLJENI KRATKOROCNI KREDITI</t>
  </si>
  <si>
    <t>Short term loans</t>
  </si>
  <si>
    <t>Kratkoročni krediti</t>
  </si>
  <si>
    <t>TEKUCI DIO DUGOROCNIH KREDITA</t>
  </si>
  <si>
    <t>Current portion of long-term liabilities</t>
  </si>
  <si>
    <t>Tekući dio dugor.finan.obaveza</t>
  </si>
  <si>
    <t>OBAVEZE ZA KAMATE</t>
  </si>
  <si>
    <t>Interest payable</t>
  </si>
  <si>
    <t>Obaveze za kamate</t>
  </si>
  <si>
    <t>OSTALE FINANSIJSKE OBAVEZE</t>
  </si>
  <si>
    <t>Other financial liabilities</t>
  </si>
  <si>
    <t>Ostale finansijske obaveze</t>
  </si>
  <si>
    <t>Trade Payables</t>
  </si>
  <si>
    <t>Obveze prema dobavljačima</t>
  </si>
  <si>
    <t>DOBAVLJACI - POVEZANA LICA</t>
  </si>
  <si>
    <t xml:space="preserve"> - Payables - Related parties</t>
  </si>
  <si>
    <t xml:space="preserve"> - Obveze prema dobavljačima - povezana lica</t>
  </si>
  <si>
    <t>DOBAVLJACI - DOMACI</t>
  </si>
  <si>
    <t xml:space="preserve"> - Payables - Domestic market</t>
  </si>
  <si>
    <t xml:space="preserve"> - Obveze prema dobavljačima - domaće tržište</t>
  </si>
  <si>
    <t>DOBAVLJACI - STRANI</t>
  </si>
  <si>
    <t xml:space="preserve"> - Payables - Foreign market</t>
  </si>
  <si>
    <t xml:space="preserve"> - Obveze prema dobavljačima - inostrano tržište</t>
  </si>
  <si>
    <t>Payables in days</t>
  </si>
  <si>
    <t>Dobavljači dani</t>
  </si>
  <si>
    <t>PRIMLJENI AVANSI</t>
  </si>
  <si>
    <t>Advances received</t>
  </si>
  <si>
    <t>Avansi</t>
  </si>
  <si>
    <t>Other Short-Term Liabilities</t>
  </si>
  <si>
    <t>Ostale kratkoročne obveze</t>
  </si>
  <si>
    <t>OBAVEZE PREMA ZAPOSLENIM</t>
  </si>
  <si>
    <t xml:space="preserve"> - Liabilities to employees</t>
  </si>
  <si>
    <t xml:space="preserve"> - Obveze prema zaposlenicima</t>
  </si>
  <si>
    <t>OBAVEZE PREMA DRZAVI</t>
  </si>
  <si>
    <t xml:space="preserve"> - Liabilities to the state</t>
  </si>
  <si>
    <t xml:space="preserve"> - Obveze prema državi </t>
  </si>
  <si>
    <t>OBAVEZE ZA DIVIDENDE</t>
  </si>
  <si>
    <t xml:space="preserve"> - Dividends payable</t>
  </si>
  <si>
    <t xml:space="preserve"> - Obaveze za dividende</t>
  </si>
  <si>
    <t>OSTALE OBAVEZE</t>
  </si>
  <si>
    <t xml:space="preserve"> - Other short term liabilities</t>
  </si>
  <si>
    <t xml:space="preserve"> - Ostale obveze</t>
  </si>
  <si>
    <t>OBAVEZE ZA PDV</t>
  </si>
  <si>
    <t xml:space="preserve"> - VAT payable</t>
  </si>
  <si>
    <t xml:space="preserve"> - PDV</t>
  </si>
  <si>
    <t>Total short-term liabilities</t>
  </si>
  <si>
    <t>Ukupne kratkoročne obveze</t>
  </si>
  <si>
    <t>OBRACUNATI TROSKOVI I PRIHODI BUDUCEG PERIODA</t>
  </si>
  <si>
    <t>Obračunati troškovi i prihodi budućih razdoblja</t>
  </si>
  <si>
    <t>Total Equity &amp; Liabilities</t>
  </si>
  <si>
    <t>Ukupno kapital &amp; obveze</t>
  </si>
  <si>
    <t>Check</t>
  </si>
  <si>
    <t>Provjera</t>
  </si>
  <si>
    <t>Cash-flow statement</t>
  </si>
  <si>
    <t>Izvještaj o novačnom toku</t>
  </si>
  <si>
    <t>Cash (begining of the period)</t>
  </si>
  <si>
    <t>Novac (početak razdoblja)</t>
  </si>
  <si>
    <t>Cash-flow from Operations</t>
  </si>
  <si>
    <t>Novčani tok od operativne aktivnosti</t>
  </si>
  <si>
    <t>Working Capital</t>
  </si>
  <si>
    <t>Radni kapital</t>
  </si>
  <si>
    <t xml:space="preserve"> +/- Inventories</t>
  </si>
  <si>
    <t xml:space="preserve"> +/- Zalihe</t>
  </si>
  <si>
    <t xml:space="preserve"> +/- Receivables</t>
  </si>
  <si>
    <t xml:space="preserve"> +/- Potraživanja</t>
  </si>
  <si>
    <t xml:space="preserve"> +/- Short-term financial assets</t>
  </si>
  <si>
    <t xml:space="preserve"> +/- Kratkoročna financijska imovina</t>
  </si>
  <si>
    <t xml:space="preserve"> +/- Accruals (A)</t>
  </si>
  <si>
    <t xml:space="preserve"> +/- Aktivna vremenska razgraničenja</t>
  </si>
  <si>
    <t xml:space="preserve"> +/- Trade payables</t>
  </si>
  <si>
    <t xml:space="preserve"> +/- Obveze prema dobavljačima</t>
  </si>
  <si>
    <t xml:space="preserve"> +/- Other short-term liabilities </t>
  </si>
  <si>
    <t xml:space="preserve"> +/- Ostale kratkoročne obveze</t>
  </si>
  <si>
    <t xml:space="preserve"> +/- Advances received</t>
  </si>
  <si>
    <t xml:space="preserve"> +/- Avansi</t>
  </si>
  <si>
    <t xml:space="preserve"> +/- Accruals (E&amp;L)</t>
  </si>
  <si>
    <t xml:space="preserve"> +/- Pasivna vremenska razgraničenja</t>
  </si>
  <si>
    <t>Total cash-flow from operational activities</t>
  </si>
  <si>
    <t>Ukupan novčani tok od operativne aktivnosti</t>
  </si>
  <si>
    <t>Cash-flow from investment activities</t>
  </si>
  <si>
    <t>Novčani tok od investicijske aktivnosti</t>
  </si>
  <si>
    <t xml:space="preserve"> +/- Investment in fixed assets</t>
  </si>
  <si>
    <t xml:space="preserve"> +/- Investicije u fiksnu imovinu</t>
  </si>
  <si>
    <t xml:space="preserve"> +/- Long term financial assets</t>
  </si>
  <si>
    <t xml:space="preserve"> +/- Dugoročna finansijska imovina</t>
  </si>
  <si>
    <t>Total cash-flow from investment activities</t>
  </si>
  <si>
    <t>Ukupan novačani tok od investicijske aktivnosti</t>
  </si>
  <si>
    <t>Cash-flow from financing activities</t>
  </si>
  <si>
    <t>Novačani tok od financijske aktivnosti</t>
  </si>
  <si>
    <t xml:space="preserve"> +/- Equity (dividends)</t>
  </si>
  <si>
    <t xml:space="preserve"> +/- Kapital</t>
  </si>
  <si>
    <t xml:space="preserve"> +/- Long-term liabilities</t>
  </si>
  <si>
    <t xml:space="preserve"> +/- Dugoročne obveze</t>
  </si>
  <si>
    <t xml:space="preserve"> +/- Short-term loans</t>
  </si>
  <si>
    <t xml:space="preserve"> +/- Kratkoročni zajmovi</t>
  </si>
  <si>
    <t>Total cash-flow from financing activities</t>
  </si>
  <si>
    <t>Ukupan novčani tok od financijske aktivnosti</t>
  </si>
  <si>
    <t>Net Cash-flow</t>
  </si>
  <si>
    <t>Neto novčani tok</t>
  </si>
  <si>
    <t>Cash (end of the period)</t>
  </si>
  <si>
    <t>Novac (kraj razdoblja)</t>
  </si>
  <si>
    <t>Description</t>
  </si>
  <si>
    <t>Novčani jaz</t>
  </si>
  <si>
    <t>Number of Days in Receivables</t>
  </si>
  <si>
    <t>Broj dana u potraživanjima</t>
  </si>
  <si>
    <t>Number of Days in Payables</t>
  </si>
  <si>
    <t>Cash Gap</t>
  </si>
  <si>
    <t>Odabrani pokazatelji</t>
  </si>
  <si>
    <t>Liquidity Ratios</t>
  </si>
  <si>
    <t xml:space="preserve">Pokazatelji likvidnosti </t>
  </si>
  <si>
    <t>Quick ratio</t>
  </si>
  <si>
    <t>Koeficijent ubrzane likvidnosti</t>
  </si>
  <si>
    <t>Current ratio</t>
  </si>
  <si>
    <t>Koeficijent tekuće likvidnosti</t>
  </si>
  <si>
    <t>Debt /EBITDA</t>
  </si>
  <si>
    <t>Dug / EBITDA</t>
  </si>
  <si>
    <t xml:space="preserve"> Interest coverage ratio </t>
  </si>
  <si>
    <t>Pokriće kamata</t>
  </si>
  <si>
    <t>Leverage Ratio</t>
  </si>
  <si>
    <t>Pokazatelji zaduženosti</t>
  </si>
  <si>
    <t>Debt Ratio</t>
  </si>
  <si>
    <t>Koeficijent zaduženosti</t>
  </si>
  <si>
    <t>Debt-to-Equity ratio</t>
  </si>
  <si>
    <t>Odnos duga i kapitala</t>
  </si>
  <si>
    <t>Return on Assets</t>
  </si>
  <si>
    <t>Povrat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</si>
</sst>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_ ;[Red]\-#,##0.00\ "/>
    <numFmt numFmtId="166" formatCode="_-* #,##0.00\ _k_n_-;\-* #,##0.00\ _k_n_-;_-* &quot;-&quot;??\ _k_n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i/>
      <sz val="10"/>
      <color theme="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  <charset val="238"/>
    </font>
    <font>
      <b/>
      <sz val="10"/>
      <color theme="0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5" tint="-0.499984740745262"/>
      <name val="Arial"/>
      <family val="2"/>
    </font>
    <font>
      <b/>
      <sz val="10"/>
      <color theme="5" tint="-0.499984740745262"/>
      <name val="Arial"/>
      <family val="2"/>
    </font>
    <font>
      <sz val="10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theme="9" tint="-0.249977111117893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3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theme="0"/>
      <name val="Arial"/>
      <family val="2"/>
    </font>
    <font>
      <i/>
      <sz val="10"/>
      <color theme="4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theme="1"/>
      <name val="Segoe UI"/>
      <family val="2"/>
      <charset val="238"/>
    </font>
    <font>
      <sz val="10"/>
      <color indexed="23"/>
      <name val="Arial"/>
      <family val="2"/>
      <charset val="238"/>
    </font>
    <font>
      <b/>
      <sz val="10"/>
      <color theme="5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4" tint="-0.249977111117893"/>
        <bgColor theme="0"/>
      </patternFill>
    </fill>
    <fill>
      <patternFill patternType="solid">
        <fgColor indexed="9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medium">
        <color theme="4" tint="0.39991454817346722"/>
      </left>
      <right/>
      <top style="medium">
        <color theme="4" tint="0.39991454817346722"/>
      </top>
      <bottom style="medium">
        <color theme="4" tint="0.39991454817346722"/>
      </bottom>
      <diagonal/>
    </border>
    <border>
      <left/>
      <right/>
      <top style="medium">
        <color theme="4" tint="0.39991454817346722"/>
      </top>
      <bottom style="medium">
        <color theme="4" tint="0.399914548173467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 style="medium">
        <color theme="4" tint="0.399914548173467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1454817346722"/>
      </top>
      <bottom/>
      <diagonal/>
    </border>
    <border>
      <left/>
      <right/>
      <top style="thin">
        <color theme="4" tint="0.39991454817346722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85351115451523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medium">
        <color theme="4" tint="0.39991454817346722"/>
      </bottom>
      <diagonal/>
    </border>
    <border>
      <left/>
      <right/>
      <top style="thin">
        <color theme="4" tint="0.39991454817346722"/>
      </top>
      <bottom style="medium">
        <color theme="4" tint="0.399914548173467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medium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/>
      <diagonal/>
    </border>
    <border>
      <left style="thin">
        <color theme="4" tint="0.39991454817346722"/>
      </left>
      <right/>
      <top/>
      <bottom/>
      <diagonal/>
    </border>
    <border>
      <left style="thin">
        <color theme="4" tint="0.39991454817346722"/>
      </left>
      <right/>
      <top/>
      <bottom style="thin">
        <color theme="4" tint="0.39994506668294322"/>
      </bottom>
      <diagonal/>
    </border>
    <border>
      <left style="thin">
        <color theme="4" tint="0.39988402966399123"/>
      </left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thin">
        <color theme="4" tint="0.39994506668294322"/>
      </top>
      <bottom/>
      <diagonal/>
    </border>
    <border>
      <left style="thin">
        <color theme="4" tint="0.39997558519241921"/>
      </left>
      <right/>
      <top/>
      <bottom style="thin">
        <color theme="4" tint="0.399945066682943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medium">
        <color theme="4" tint="0.39994506668294322"/>
      </bottom>
      <diagonal/>
    </border>
    <border>
      <left/>
      <right/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1454817346722"/>
      </left>
      <right/>
      <top style="medium">
        <color theme="4" tint="0.39994506668294322"/>
      </top>
      <bottom/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/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79247413556324"/>
      </left>
      <right/>
      <top style="thin">
        <color theme="4" tint="0.39982299264503923"/>
      </top>
      <bottom/>
      <diagonal/>
    </border>
    <border>
      <left/>
      <right/>
      <top style="thin">
        <color theme="4" tint="0.39982299264503923"/>
      </top>
      <bottom/>
      <diagonal/>
    </border>
    <border>
      <left style="thin">
        <color theme="4" tint="0.39979247413556324"/>
      </left>
      <right/>
      <top/>
      <bottom/>
      <diagonal/>
    </border>
    <border>
      <left style="thin">
        <color theme="4" tint="0.39979247413556324"/>
      </left>
      <right/>
      <top/>
      <bottom style="thick">
        <color theme="4" tint="0.39976195562608724"/>
      </bottom>
      <diagonal/>
    </border>
    <border>
      <left/>
      <right/>
      <top/>
      <bottom style="thick">
        <color theme="4" tint="0.39976195562608724"/>
      </bottom>
      <diagonal/>
    </border>
    <border>
      <left style="thin">
        <color theme="4" tint="0.39985351115451523"/>
      </left>
      <right/>
      <top/>
      <bottom/>
      <diagonal/>
    </border>
    <border>
      <left style="thin">
        <color theme="4" tint="0.39985351115451523"/>
      </left>
      <right/>
      <top/>
      <bottom style="thick">
        <color theme="4" tint="0.39976195562608724"/>
      </bottom>
      <diagonal/>
    </border>
    <border>
      <left style="thin">
        <color theme="4" tint="0.39985351115451523"/>
      </left>
      <right/>
      <top style="thin">
        <color theme="4" tint="0.39982299264503923"/>
      </top>
      <bottom/>
      <diagonal/>
    </border>
    <border>
      <left style="thin">
        <color theme="4" tint="0.39985351115451523"/>
      </left>
      <right/>
      <top/>
      <bottom style="thick">
        <color theme="4" tint="0.39982299264503923"/>
      </bottom>
      <diagonal/>
    </border>
    <border>
      <left/>
      <right/>
      <top/>
      <bottom style="thick">
        <color theme="4" tint="0.39982299264503923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9" fontId="13" fillId="0" borderId="0" applyFont="0" applyFill="0" applyBorder="0" applyAlignment="0" applyProtection="0"/>
    <xf numFmtId="0" fontId="16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6" fillId="0" borderId="0"/>
    <xf numFmtId="0" fontId="2" fillId="0" borderId="0">
      <alignment wrapText="1"/>
    </xf>
    <xf numFmtId="0" fontId="2" fillId="0" borderId="0"/>
  </cellStyleXfs>
  <cellXfs count="259">
    <xf numFmtId="0" fontId="0" fillId="0" borderId="0" xfId="0"/>
    <xf numFmtId="0" fontId="2" fillId="2" borderId="0" xfId="1" applyFill="1"/>
    <xf numFmtId="0" fontId="2" fillId="2" borderId="0" xfId="2" applyFill="1"/>
    <xf numFmtId="0" fontId="3" fillId="2" borderId="0" xfId="1" applyFont="1" applyFill="1"/>
    <xf numFmtId="0" fontId="4" fillId="0" borderId="0" xfId="3" applyFont="1"/>
    <xf numFmtId="0" fontId="2" fillId="2" borderId="0" xfId="3" applyFill="1"/>
    <xf numFmtId="0" fontId="5" fillId="2" borderId="0" xfId="2" applyFont="1" applyFill="1"/>
    <xf numFmtId="0" fontId="5" fillId="2" borderId="0" xfId="1" applyFont="1" applyFill="1"/>
    <xf numFmtId="0" fontId="6" fillId="0" borderId="0" xfId="3" applyFont="1"/>
    <xf numFmtId="0" fontId="7" fillId="2" borderId="0" xfId="3" applyFont="1" applyFill="1"/>
    <xf numFmtId="0" fontId="8" fillId="3" borderId="1" xfId="4" applyFont="1" applyFill="1" applyBorder="1" applyAlignment="1"/>
    <xf numFmtId="0" fontId="9" fillId="0" borderId="0" xfId="4" applyFont="1" applyAlignment="1"/>
    <xf numFmtId="0" fontId="8" fillId="3" borderId="2" xfId="4" applyFont="1" applyFill="1" applyBorder="1" applyAlignment="1"/>
    <xf numFmtId="0" fontId="8" fillId="3" borderId="2" xfId="4" applyFont="1" applyFill="1" applyBorder="1" applyAlignment="1">
      <alignment horizontal="right"/>
    </xf>
    <xf numFmtId="0" fontId="10" fillId="2" borderId="0" xfId="1" applyFont="1" applyFill="1"/>
    <xf numFmtId="0" fontId="11" fillId="4" borderId="3" xfId="4" applyFont="1" applyFill="1" applyBorder="1" applyAlignment="1"/>
    <xf numFmtId="17" fontId="9" fillId="0" borderId="0" xfId="4" applyNumberFormat="1" applyFont="1" applyAlignment="1">
      <alignment horizontal="right"/>
    </xf>
    <xf numFmtId="17" fontId="11" fillId="4" borderId="4" xfId="4" applyNumberFormat="1" applyFont="1" applyFill="1" applyBorder="1" applyAlignment="1">
      <alignment horizontal="right"/>
    </xf>
    <xf numFmtId="0" fontId="11" fillId="5" borderId="4" xfId="4" applyFont="1" applyFill="1" applyBorder="1" applyAlignment="1">
      <alignment horizontal="right"/>
    </xf>
    <xf numFmtId="0" fontId="12" fillId="4" borderId="5" xfId="4" applyFont="1" applyFill="1" applyBorder="1" applyAlignment="1"/>
    <xf numFmtId="10" fontId="4" fillId="0" borderId="0" xfId="5" applyNumberFormat="1" applyFont="1" applyFill="1" applyBorder="1" applyAlignment="1"/>
    <xf numFmtId="10" fontId="12" fillId="4" borderId="0" xfId="5" applyNumberFormat="1" applyFont="1" applyFill="1" applyBorder="1" applyAlignment="1"/>
    <xf numFmtId="10" fontId="12" fillId="5" borderId="0" xfId="5" applyNumberFormat="1" applyFont="1" applyFill="1" applyBorder="1" applyAlignment="1"/>
    <xf numFmtId="0" fontId="14" fillId="2" borderId="0" xfId="1" applyFont="1" applyFill="1"/>
    <xf numFmtId="0" fontId="15" fillId="4" borderId="6" xfId="4" applyFont="1" applyFill="1" applyBorder="1" applyAlignment="1"/>
    <xf numFmtId="0" fontId="3" fillId="4" borderId="7" xfId="4" applyFont="1" applyFill="1" applyBorder="1" applyAlignment="1"/>
    <xf numFmtId="0" fontId="15" fillId="5" borderId="7" xfId="4" applyFont="1" applyFill="1" applyBorder="1" applyAlignment="1"/>
    <xf numFmtId="0" fontId="16" fillId="4" borderId="5" xfId="3" applyFont="1" applyFill="1" applyBorder="1"/>
    <xf numFmtId="0" fontId="16" fillId="4" borderId="5" xfId="6" applyFill="1" applyBorder="1"/>
    <xf numFmtId="3" fontId="4" fillId="0" borderId="0" xfId="4" applyNumberFormat="1" applyFont="1" applyAlignment="1"/>
    <xf numFmtId="3" fontId="17" fillId="4" borderId="0" xfId="4" applyNumberFormat="1" applyFont="1" applyFill="1" applyAlignment="1"/>
    <xf numFmtId="3" fontId="16" fillId="5" borderId="0" xfId="4" applyNumberFormat="1" applyFont="1" applyFill="1" applyAlignment="1"/>
    <xf numFmtId="0" fontId="18" fillId="2" borderId="0" xfId="1" applyFont="1" applyFill="1"/>
    <xf numFmtId="0" fontId="18" fillId="4" borderId="5" xfId="4" applyFont="1" applyFill="1" applyBorder="1" applyAlignment="1"/>
    <xf numFmtId="3" fontId="18" fillId="5" borderId="0" xfId="4" applyNumberFormat="1" applyFont="1" applyFill="1" applyAlignment="1"/>
    <xf numFmtId="3" fontId="16" fillId="0" borderId="0" xfId="4" applyNumberFormat="1" applyFont="1" applyAlignment="1"/>
    <xf numFmtId="0" fontId="16" fillId="2" borderId="0" xfId="1" applyFont="1" applyFill="1"/>
    <xf numFmtId="3" fontId="16" fillId="4" borderId="0" xfId="4" applyNumberFormat="1" applyFont="1" applyFill="1" applyAlignment="1"/>
    <xf numFmtId="0" fontId="3" fillId="4" borderId="8" xfId="7" applyFont="1" applyFill="1" applyBorder="1" applyAlignment="1">
      <alignment horizontal="left" vertical="center"/>
    </xf>
    <xf numFmtId="3" fontId="9" fillId="0" borderId="0" xfId="7" applyNumberFormat="1" applyFont="1" applyAlignment="1">
      <alignment horizontal="right" vertical="center"/>
    </xf>
    <xf numFmtId="3" fontId="3" fillId="4" borderId="9" xfId="7" applyNumberFormat="1" applyFont="1" applyFill="1" applyBorder="1" applyAlignment="1">
      <alignment horizontal="right" vertical="center"/>
    </xf>
    <xf numFmtId="3" fontId="3" fillId="5" borderId="9" xfId="7" applyNumberFormat="1" applyFont="1" applyFill="1" applyBorder="1" applyAlignment="1">
      <alignment horizontal="right" vertical="center"/>
    </xf>
    <xf numFmtId="0" fontId="16" fillId="4" borderId="5" xfId="4" applyFont="1" applyFill="1" applyBorder="1" applyAlignment="1"/>
    <xf numFmtId="0" fontId="4" fillId="0" borderId="0" xfId="4" applyFont="1" applyAlignment="1"/>
    <xf numFmtId="0" fontId="16" fillId="4" borderId="0" xfId="4" applyFont="1" applyFill="1" applyAlignment="1"/>
    <xf numFmtId="0" fontId="16" fillId="5" borderId="0" xfId="4" applyFont="1" applyFill="1" applyAlignment="1"/>
    <xf numFmtId="0" fontId="16" fillId="4" borderId="10" xfId="3" applyFont="1" applyFill="1" applyBorder="1"/>
    <xf numFmtId="0" fontId="16" fillId="4" borderId="10" xfId="6" applyFill="1" applyBorder="1"/>
    <xf numFmtId="3" fontId="16" fillId="6" borderId="11" xfId="4" applyNumberFormat="1" applyFont="1" applyFill="1" applyBorder="1" applyAlignment="1"/>
    <xf numFmtId="3" fontId="16" fillId="5" borderId="11" xfId="4" applyNumberFormat="1" applyFont="1" applyFill="1" applyBorder="1" applyAlignment="1"/>
    <xf numFmtId="0" fontId="18" fillId="2" borderId="0" xfId="3" applyFont="1" applyFill="1"/>
    <xf numFmtId="3" fontId="17" fillId="4" borderId="12" xfId="4" applyNumberFormat="1" applyFont="1" applyFill="1" applyBorder="1" applyAlignment="1"/>
    <xf numFmtId="3" fontId="18" fillId="5" borderId="12" xfId="4" applyNumberFormat="1" applyFont="1" applyFill="1" applyBorder="1" applyAlignment="1"/>
    <xf numFmtId="0" fontId="19" fillId="2" borderId="0" xfId="1" applyFont="1" applyFill="1"/>
    <xf numFmtId="0" fontId="19" fillId="4" borderId="8" xfId="7" applyFont="1" applyFill="1" applyBorder="1" applyAlignment="1">
      <alignment horizontal="left" vertical="center"/>
    </xf>
    <xf numFmtId="3" fontId="9" fillId="0" borderId="0" xfId="4" applyNumberFormat="1" applyFont="1" applyAlignment="1"/>
    <xf numFmtId="3" fontId="19" fillId="4" borderId="0" xfId="4" applyNumberFormat="1" applyFont="1" applyFill="1" applyAlignment="1"/>
    <xf numFmtId="3" fontId="19" fillId="5" borderId="0" xfId="4" applyNumberFormat="1" applyFont="1" applyFill="1" applyAlignment="1"/>
    <xf numFmtId="0" fontId="10" fillId="4" borderId="5" xfId="4" applyFont="1" applyFill="1" applyBorder="1" applyAlignment="1"/>
    <xf numFmtId="164" fontId="4" fillId="0" borderId="0" xfId="8" applyNumberFormat="1" applyFont="1" applyFill="1" applyBorder="1" applyAlignment="1"/>
    <xf numFmtId="164" fontId="10" fillId="4" borderId="0" xfId="8" applyNumberFormat="1" applyFont="1" applyFill="1" applyBorder="1" applyAlignment="1"/>
    <xf numFmtId="164" fontId="10" fillId="5" borderId="0" xfId="8" applyNumberFormat="1" applyFont="1" applyFill="1" applyBorder="1" applyAlignment="1"/>
    <xf numFmtId="0" fontId="20" fillId="4" borderId="5" xfId="7" applyFont="1" applyFill="1" applyBorder="1" applyAlignment="1">
      <alignment horizontal="left" vertical="center"/>
    </xf>
    <xf numFmtId="3" fontId="16" fillId="6" borderId="0" xfId="4" applyNumberFormat="1" applyFont="1" applyFill="1" applyAlignment="1"/>
    <xf numFmtId="0" fontId="16" fillId="6" borderId="5" xfId="4" applyFont="1" applyFill="1" applyBorder="1" applyAlignment="1"/>
    <xf numFmtId="0" fontId="18" fillId="6" borderId="5" xfId="4" applyFont="1" applyFill="1" applyBorder="1" applyAlignment="1"/>
    <xf numFmtId="40" fontId="2" fillId="2" borderId="0" xfId="1" applyNumberFormat="1" applyFill="1"/>
    <xf numFmtId="165" fontId="2" fillId="2" borderId="0" xfId="1" applyNumberFormat="1" applyFill="1"/>
    <xf numFmtId="40" fontId="18" fillId="2" borderId="0" xfId="1" applyNumberFormat="1" applyFont="1" applyFill="1"/>
    <xf numFmtId="165" fontId="18" fillId="2" borderId="0" xfId="1" applyNumberFormat="1" applyFont="1" applyFill="1"/>
    <xf numFmtId="0" fontId="3" fillId="4" borderId="8" xfId="4" applyFont="1" applyFill="1" applyBorder="1" applyAlignment="1"/>
    <xf numFmtId="3" fontId="3" fillId="4" borderId="9" xfId="4" applyNumberFormat="1" applyFont="1" applyFill="1" applyBorder="1" applyAlignment="1"/>
    <xf numFmtId="3" fontId="3" fillId="5" borderId="9" xfId="4" applyNumberFormat="1" applyFont="1" applyFill="1" applyBorder="1" applyAlignment="1"/>
    <xf numFmtId="0" fontId="21" fillId="4" borderId="5" xfId="4" applyFont="1" applyFill="1" applyBorder="1" applyAlignment="1"/>
    <xf numFmtId="0" fontId="22" fillId="4" borderId="0" xfId="4" applyFont="1" applyFill="1" applyAlignment="1"/>
    <xf numFmtId="0" fontId="22" fillId="5" borderId="0" xfId="4" applyFont="1" applyFill="1" applyAlignment="1"/>
    <xf numFmtId="0" fontId="23" fillId="4" borderId="5" xfId="4" applyFont="1" applyFill="1" applyBorder="1" applyAlignment="1"/>
    <xf numFmtId="3" fontId="24" fillId="0" borderId="0" xfId="7" applyNumberFormat="1" applyFont="1" applyAlignment="1">
      <alignment horizontal="right" vertical="center"/>
    </xf>
    <xf numFmtId="3" fontId="23" fillId="4" borderId="0" xfId="7" applyNumberFormat="1" applyFont="1" applyFill="1" applyAlignment="1">
      <alignment horizontal="right" vertical="center"/>
    </xf>
    <xf numFmtId="3" fontId="23" fillId="5" borderId="0" xfId="7" applyNumberFormat="1" applyFont="1" applyFill="1" applyAlignment="1">
      <alignment horizontal="right" vertical="center"/>
    </xf>
    <xf numFmtId="2" fontId="2" fillId="2" borderId="0" xfId="1" applyNumberFormat="1" applyFill="1"/>
    <xf numFmtId="0" fontId="16" fillId="4" borderId="5" xfId="9" applyFont="1" applyFill="1" applyBorder="1"/>
    <xf numFmtId="3" fontId="2" fillId="4" borderId="0" xfId="4" applyNumberFormat="1" applyFill="1" applyAlignment="1"/>
    <xf numFmtId="0" fontId="11" fillId="4" borderId="5" xfId="4" applyFont="1" applyFill="1" applyBorder="1" applyAlignment="1"/>
    <xf numFmtId="3" fontId="11" fillId="4" borderId="0" xfId="4" applyNumberFormat="1" applyFont="1" applyFill="1" applyAlignment="1"/>
    <xf numFmtId="3" fontId="11" fillId="5" borderId="0" xfId="4" applyNumberFormat="1" applyFont="1" applyFill="1" applyAlignment="1"/>
    <xf numFmtId="3" fontId="18" fillId="7" borderId="0" xfId="4" applyNumberFormat="1" applyFont="1" applyFill="1" applyAlignment="1"/>
    <xf numFmtId="0" fontId="15" fillId="4" borderId="5" xfId="4" applyFont="1" applyFill="1" applyBorder="1" applyAlignment="1"/>
    <xf numFmtId="3" fontId="20" fillId="4" borderId="0" xfId="4" applyNumberFormat="1" applyFont="1" applyFill="1" applyAlignment="1"/>
    <xf numFmtId="3" fontId="15" fillId="5" borderId="0" xfId="4" applyNumberFormat="1" applyFont="1" applyFill="1" applyAlignment="1"/>
    <xf numFmtId="0" fontId="4" fillId="0" borderId="0" xfId="9" applyFont="1"/>
    <xf numFmtId="0" fontId="16" fillId="4" borderId="0" xfId="9" applyFont="1" applyFill="1"/>
    <xf numFmtId="0" fontId="16" fillId="5" borderId="0" xfId="9" applyFont="1" applyFill="1"/>
    <xf numFmtId="0" fontId="3" fillId="4" borderId="13" xfId="7" applyFont="1" applyFill="1" applyBorder="1" applyAlignment="1">
      <alignment horizontal="left" vertical="center"/>
    </xf>
    <xf numFmtId="3" fontId="3" fillId="4" borderId="14" xfId="7" applyNumberFormat="1" applyFont="1" applyFill="1" applyBorder="1" applyAlignment="1">
      <alignment horizontal="right" vertical="center"/>
    </xf>
    <xf numFmtId="3" fontId="3" fillId="5" borderId="14" xfId="7" applyNumberFormat="1" applyFont="1" applyFill="1" applyBorder="1" applyAlignment="1">
      <alignment horizontal="right" vertical="center"/>
    </xf>
    <xf numFmtId="0" fontId="12" fillId="4" borderId="3" xfId="9" applyFont="1" applyFill="1" applyBorder="1"/>
    <xf numFmtId="10" fontId="6" fillId="0" borderId="0" xfId="5" applyNumberFormat="1" applyFont="1" applyFill="1" applyBorder="1" applyAlignment="1"/>
    <xf numFmtId="10" fontId="25" fillId="4" borderId="15" xfId="5" applyNumberFormat="1" applyFont="1" applyFill="1" applyBorder="1" applyAlignment="1"/>
    <xf numFmtId="10" fontId="25" fillId="5" borderId="15" xfId="5" applyNumberFormat="1" applyFont="1" applyFill="1" applyBorder="1" applyAlignment="1"/>
    <xf numFmtId="0" fontId="12" fillId="4" borderId="0" xfId="9" applyFont="1" applyFill="1"/>
    <xf numFmtId="166" fontId="6" fillId="0" borderId="0" xfId="10" applyFont="1" applyFill="1" applyBorder="1" applyAlignment="1"/>
    <xf numFmtId="166" fontId="25" fillId="4" borderId="0" xfId="10" applyFont="1" applyFill="1" applyBorder="1" applyAlignment="1"/>
    <xf numFmtId="3" fontId="4" fillId="0" borderId="0" xfId="3" applyNumberFormat="1" applyFont="1"/>
    <xf numFmtId="3" fontId="2" fillId="2" borderId="0" xfId="3" applyNumberFormat="1" applyFill="1"/>
    <xf numFmtId="0" fontId="26" fillId="8" borderId="1" xfId="4" applyFont="1" applyFill="1" applyBorder="1" applyAlignment="1"/>
    <xf numFmtId="0" fontId="26" fillId="8" borderId="2" xfId="4" applyFont="1" applyFill="1" applyBorder="1" applyAlignment="1"/>
    <xf numFmtId="0" fontId="26" fillId="8" borderId="2" xfId="4" applyFont="1" applyFill="1" applyBorder="1" applyAlignment="1">
      <alignment horizontal="right"/>
    </xf>
    <xf numFmtId="0" fontId="11" fillId="9" borderId="16" xfId="4" applyFont="1" applyFill="1" applyBorder="1" applyAlignment="1"/>
    <xf numFmtId="0" fontId="9" fillId="0" borderId="0" xfId="4" applyFont="1" applyAlignment="1">
      <alignment horizontal="right"/>
    </xf>
    <xf numFmtId="0" fontId="11" fillId="9" borderId="4" xfId="4" applyFont="1" applyFill="1" applyBorder="1" applyAlignment="1">
      <alignment horizontal="right"/>
    </xf>
    <xf numFmtId="0" fontId="15" fillId="9" borderId="17" xfId="11" applyFont="1" applyFill="1" applyBorder="1"/>
    <xf numFmtId="0" fontId="14" fillId="5" borderId="0" xfId="3" applyFont="1" applyFill="1"/>
    <xf numFmtId="0" fontId="16" fillId="9" borderId="18" xfId="4" applyFont="1" applyFill="1" applyBorder="1" applyAlignment="1"/>
    <xf numFmtId="3" fontId="16" fillId="9" borderId="0" xfId="4" applyNumberFormat="1" applyFont="1" applyFill="1" applyAlignment="1"/>
    <xf numFmtId="3" fontId="16" fillId="7" borderId="0" xfId="4" applyNumberFormat="1" applyFont="1" applyFill="1" applyAlignment="1"/>
    <xf numFmtId="3" fontId="2" fillId="2" borderId="0" xfId="1" applyNumberFormat="1" applyFill="1"/>
    <xf numFmtId="49" fontId="18" fillId="2" borderId="0" xfId="1" applyNumberFormat="1" applyFont="1" applyFill="1"/>
    <xf numFmtId="0" fontId="18" fillId="9" borderId="18" xfId="4" applyFont="1" applyFill="1" applyBorder="1" applyAlignment="1"/>
    <xf numFmtId="9" fontId="18" fillId="2" borderId="0" xfId="8" applyFont="1" applyFill="1"/>
    <xf numFmtId="9" fontId="2" fillId="2" borderId="0" xfId="8" applyFont="1" applyFill="1"/>
    <xf numFmtId="3" fontId="18" fillId="2" borderId="0" xfId="1" applyNumberFormat="1" applyFont="1" applyFill="1"/>
    <xf numFmtId="0" fontId="16" fillId="9" borderId="19" xfId="4" applyFont="1" applyFill="1" applyBorder="1" applyAlignment="1"/>
    <xf numFmtId="0" fontId="3" fillId="9" borderId="17" xfId="9" applyFont="1" applyFill="1" applyBorder="1"/>
    <xf numFmtId="3" fontId="9" fillId="0" borderId="0" xfId="11" applyNumberFormat="1" applyFont="1"/>
    <xf numFmtId="3" fontId="3" fillId="9" borderId="7" xfId="11" applyNumberFormat="1" applyFont="1" applyFill="1" applyBorder="1"/>
    <xf numFmtId="3" fontId="3" fillId="7" borderId="7" xfId="11" applyNumberFormat="1" applyFont="1" applyFill="1" applyBorder="1"/>
    <xf numFmtId="0" fontId="3" fillId="9" borderId="18" xfId="9" applyFont="1" applyFill="1" applyBorder="1"/>
    <xf numFmtId="0" fontId="2" fillId="5" borderId="0" xfId="3" applyFill="1"/>
    <xf numFmtId="0" fontId="15" fillId="9" borderId="18" xfId="11" applyFont="1" applyFill="1" applyBorder="1"/>
    <xf numFmtId="3" fontId="4" fillId="0" borderId="0" xfId="6" applyNumberFormat="1" applyFont="1"/>
    <xf numFmtId="3" fontId="16" fillId="2" borderId="0" xfId="6" applyNumberFormat="1" applyFill="1"/>
    <xf numFmtId="3" fontId="16" fillId="5" borderId="0" xfId="6" applyNumberFormat="1" applyFill="1"/>
    <xf numFmtId="0" fontId="14" fillId="4" borderId="18" xfId="4" applyFont="1" applyFill="1" applyBorder="1" applyAlignment="1"/>
    <xf numFmtId="3" fontId="27" fillId="6" borderId="0" xfId="4" applyNumberFormat="1" applyFont="1" applyFill="1" applyAlignment="1"/>
    <xf numFmtId="3" fontId="14" fillId="5" borderId="0" xfId="4" applyNumberFormat="1" applyFont="1" applyFill="1" applyAlignment="1"/>
    <xf numFmtId="0" fontId="18" fillId="9" borderId="20" xfId="4" applyFont="1" applyFill="1" applyBorder="1" applyAlignment="1"/>
    <xf numFmtId="3" fontId="27" fillId="4" borderId="0" xfId="4" applyNumberFormat="1" applyFont="1" applyFill="1" applyAlignment="1"/>
    <xf numFmtId="0" fontId="18" fillId="9" borderId="21" xfId="4" applyFont="1" applyFill="1" applyBorder="1" applyAlignment="1"/>
    <xf numFmtId="0" fontId="16" fillId="9" borderId="21" xfId="4" applyFont="1" applyFill="1" applyBorder="1" applyAlignment="1"/>
    <xf numFmtId="0" fontId="3" fillId="9" borderId="22" xfId="9" applyFont="1" applyFill="1" applyBorder="1"/>
    <xf numFmtId="0" fontId="16" fillId="9" borderId="23" xfId="9" applyFont="1" applyFill="1" applyBorder="1"/>
    <xf numFmtId="0" fontId="3" fillId="9" borderId="24" xfId="7" applyFont="1" applyFill="1" applyBorder="1" applyAlignment="1">
      <alignment horizontal="left" vertical="center"/>
    </xf>
    <xf numFmtId="3" fontId="3" fillId="9" borderId="25" xfId="7" applyNumberFormat="1" applyFont="1" applyFill="1" applyBorder="1" applyAlignment="1">
      <alignment horizontal="right" vertical="center"/>
    </xf>
    <xf numFmtId="3" fontId="3" fillId="7" borderId="25" xfId="7" applyNumberFormat="1" applyFont="1" applyFill="1" applyBorder="1" applyAlignment="1">
      <alignment horizontal="right" vertical="center"/>
    </xf>
    <xf numFmtId="0" fontId="16" fillId="9" borderId="26" xfId="9" applyFont="1" applyFill="1" applyBorder="1"/>
    <xf numFmtId="0" fontId="15" fillId="9" borderId="18" xfId="9" applyFont="1" applyFill="1" applyBorder="1"/>
    <xf numFmtId="4" fontId="28" fillId="0" borderId="0" xfId="9" applyNumberFormat="1" applyFont="1"/>
    <xf numFmtId="0" fontId="16" fillId="9" borderId="18" xfId="12" applyFont="1" applyFill="1" applyBorder="1" applyAlignment="1"/>
    <xf numFmtId="3" fontId="4" fillId="0" borderId="0" xfId="11" applyNumberFormat="1" applyFont="1"/>
    <xf numFmtId="3" fontId="16" fillId="9" borderId="15" xfId="11" applyNumberFormat="1" applyFill="1" applyBorder="1"/>
    <xf numFmtId="3" fontId="16" fillId="7" borderId="15" xfId="11" applyNumberFormat="1" applyFill="1" applyBorder="1"/>
    <xf numFmtId="0" fontId="3" fillId="9" borderId="17" xfId="11" applyFont="1" applyFill="1" applyBorder="1"/>
    <xf numFmtId="3" fontId="3" fillId="9" borderId="0" xfId="11" applyNumberFormat="1" applyFont="1" applyFill="1"/>
    <xf numFmtId="3" fontId="3" fillId="7" borderId="0" xfId="11" applyNumberFormat="1" applyFont="1" applyFill="1"/>
    <xf numFmtId="0" fontId="3" fillId="9" borderId="18" xfId="11" applyFont="1" applyFill="1" applyBorder="1"/>
    <xf numFmtId="4" fontId="4" fillId="0" borderId="0" xfId="3" applyNumberFormat="1" applyFont="1"/>
    <xf numFmtId="4" fontId="2" fillId="2" borderId="0" xfId="3" applyNumberFormat="1" applyFill="1"/>
    <xf numFmtId="4" fontId="14" fillId="5" borderId="0" xfId="3" applyNumberFormat="1" applyFont="1" applyFill="1"/>
    <xf numFmtId="0" fontId="16" fillId="4" borderId="18" xfId="9" applyFont="1" applyFill="1" applyBorder="1"/>
    <xf numFmtId="0" fontId="3" fillId="9" borderId="17" xfId="4" applyFont="1" applyFill="1" applyBorder="1" applyAlignment="1"/>
    <xf numFmtId="0" fontId="16" fillId="9" borderId="18" xfId="9" applyFont="1" applyFill="1" applyBorder="1"/>
    <xf numFmtId="0" fontId="15" fillId="9" borderId="18" xfId="4" applyFont="1" applyFill="1" applyBorder="1" applyAlignment="1"/>
    <xf numFmtId="0" fontId="16" fillId="2" borderId="0" xfId="9" applyFont="1" applyFill="1"/>
    <xf numFmtId="0" fontId="14" fillId="9" borderId="18" xfId="4" applyFont="1" applyFill="1" applyBorder="1" applyAlignment="1"/>
    <xf numFmtId="3" fontId="27" fillId="9" borderId="0" xfId="4" applyNumberFormat="1" applyFont="1" applyFill="1" applyAlignment="1"/>
    <xf numFmtId="3" fontId="14" fillId="7" borderId="0" xfId="4" applyNumberFormat="1" applyFont="1" applyFill="1" applyAlignment="1"/>
    <xf numFmtId="164" fontId="18" fillId="2" borderId="0" xfId="8" applyNumberFormat="1" applyFont="1" applyFill="1"/>
    <xf numFmtId="0" fontId="16" fillId="9" borderId="19" xfId="9" applyFont="1" applyFill="1" applyBorder="1"/>
    <xf numFmtId="0" fontId="29" fillId="9" borderId="0" xfId="4" applyFont="1" applyFill="1" applyAlignment="1"/>
    <xf numFmtId="4" fontId="4" fillId="0" borderId="0" xfId="4" applyNumberFormat="1" applyFont="1" applyAlignment="1"/>
    <xf numFmtId="4" fontId="29" fillId="9" borderId="0" xfId="4" applyNumberFormat="1" applyFont="1" applyFill="1" applyAlignment="1"/>
    <xf numFmtId="0" fontId="16" fillId="9" borderId="0" xfId="4" applyFont="1" applyFill="1" applyAlignment="1"/>
    <xf numFmtId="0" fontId="8" fillId="8" borderId="27" xfId="4" applyFont="1" applyFill="1" applyBorder="1" applyAlignment="1"/>
    <xf numFmtId="0" fontId="8" fillId="8" borderId="28" xfId="4" applyFont="1" applyFill="1" applyBorder="1" applyAlignment="1"/>
    <xf numFmtId="0" fontId="8" fillId="8" borderId="28" xfId="4" applyFont="1" applyFill="1" applyBorder="1" applyAlignment="1">
      <alignment horizontal="right"/>
    </xf>
    <xf numFmtId="0" fontId="11" fillId="9" borderId="29" xfId="4" applyFont="1" applyFill="1" applyBorder="1" applyAlignment="1"/>
    <xf numFmtId="17" fontId="11" fillId="9" borderId="30" xfId="4" applyNumberFormat="1" applyFont="1" applyFill="1" applyBorder="1" applyAlignment="1">
      <alignment horizontal="right"/>
    </xf>
    <xf numFmtId="0" fontId="3" fillId="9" borderId="6" xfId="11" applyFont="1" applyFill="1" applyBorder="1"/>
    <xf numFmtId="0" fontId="16" fillId="9" borderId="5" xfId="9" applyFont="1" applyFill="1" applyBorder="1"/>
    <xf numFmtId="0" fontId="30" fillId="9" borderId="5" xfId="9" applyFont="1" applyFill="1" applyBorder="1"/>
    <xf numFmtId="0" fontId="20" fillId="9" borderId="5" xfId="9" applyFont="1" applyFill="1" applyBorder="1"/>
    <xf numFmtId="0" fontId="16" fillId="9" borderId="5" xfId="7" applyFont="1" applyFill="1" applyBorder="1" applyAlignment="1">
      <alignment horizontal="left" vertical="center"/>
    </xf>
    <xf numFmtId="3" fontId="4" fillId="0" borderId="0" xfId="7" applyNumberFormat="1" applyFont="1" applyAlignment="1">
      <alignment horizontal="right" vertical="center"/>
    </xf>
    <xf numFmtId="3" fontId="16" fillId="9" borderId="0" xfId="7" applyNumberFormat="1" applyFont="1" applyFill="1" applyAlignment="1">
      <alignment horizontal="right" vertical="center"/>
    </xf>
    <xf numFmtId="3" fontId="16" fillId="7" borderId="0" xfId="7" applyNumberFormat="1" applyFont="1" applyFill="1" applyAlignment="1">
      <alignment horizontal="right" vertical="center"/>
    </xf>
    <xf numFmtId="0" fontId="16" fillId="9" borderId="5" xfId="11" applyFill="1" applyBorder="1"/>
    <xf numFmtId="3" fontId="16" fillId="9" borderId="5" xfId="3" applyNumberFormat="1" applyFont="1" applyFill="1" applyBorder="1"/>
    <xf numFmtId="3" fontId="16" fillId="9" borderId="5" xfId="6" applyNumberFormat="1" applyFill="1" applyBorder="1"/>
    <xf numFmtId="3" fontId="18" fillId="9" borderId="5" xfId="13" applyNumberFormat="1" applyFont="1" applyFill="1" applyBorder="1"/>
    <xf numFmtId="3" fontId="18" fillId="9" borderId="5" xfId="3" applyNumberFormat="1" applyFont="1" applyFill="1" applyBorder="1"/>
    <xf numFmtId="3" fontId="17" fillId="9" borderId="0" xfId="3" applyNumberFormat="1" applyFont="1" applyFill="1"/>
    <xf numFmtId="3" fontId="18" fillId="7" borderId="0" xfId="3" applyNumberFormat="1" applyFont="1" applyFill="1"/>
    <xf numFmtId="3" fontId="18" fillId="9" borderId="5" xfId="6" applyNumberFormat="1" applyFont="1" applyFill="1" applyBorder="1"/>
    <xf numFmtId="3" fontId="17" fillId="9" borderId="0" xfId="6" applyNumberFormat="1" applyFont="1" applyFill="1"/>
    <xf numFmtId="3" fontId="18" fillId="7" borderId="0" xfId="6" applyNumberFormat="1" applyFont="1" applyFill="1"/>
    <xf numFmtId="0" fontId="3" fillId="9" borderId="6" xfId="7" applyFont="1" applyFill="1" applyBorder="1" applyAlignment="1">
      <alignment horizontal="left" vertical="center"/>
    </xf>
    <xf numFmtId="3" fontId="3" fillId="9" borderId="7" xfId="7" applyNumberFormat="1" applyFont="1" applyFill="1" applyBorder="1" applyAlignment="1">
      <alignment horizontal="right" vertical="center"/>
    </xf>
    <xf numFmtId="3" fontId="3" fillId="7" borderId="7" xfId="7" applyNumberFormat="1" applyFont="1" applyFill="1" applyBorder="1" applyAlignment="1">
      <alignment horizontal="right" vertical="center"/>
    </xf>
    <xf numFmtId="3" fontId="16" fillId="9" borderId="0" xfId="11" applyNumberFormat="1" applyFill="1"/>
    <xf numFmtId="3" fontId="16" fillId="7" borderId="0" xfId="11" applyNumberFormat="1" applyFill="1"/>
    <xf numFmtId="0" fontId="16" fillId="9" borderId="3" xfId="11" applyFill="1" applyBorder="1"/>
    <xf numFmtId="0" fontId="11" fillId="9" borderId="31" xfId="9" applyFont="1" applyFill="1" applyBorder="1"/>
    <xf numFmtId="3" fontId="11" fillId="9" borderId="25" xfId="11" applyNumberFormat="1" applyFont="1" applyFill="1" applyBorder="1"/>
    <xf numFmtId="3" fontId="11" fillId="7" borderId="25" xfId="11" applyNumberFormat="1" applyFont="1" applyFill="1" applyBorder="1"/>
    <xf numFmtId="0" fontId="3" fillId="9" borderId="29" xfId="11" applyFont="1" applyFill="1" applyBorder="1"/>
    <xf numFmtId="3" fontId="3" fillId="9" borderId="30" xfId="11" applyNumberFormat="1" applyFont="1" applyFill="1" applyBorder="1"/>
    <xf numFmtId="3" fontId="3" fillId="7" borderId="30" xfId="11" applyNumberFormat="1" applyFont="1" applyFill="1" applyBorder="1"/>
    <xf numFmtId="0" fontId="29" fillId="9" borderId="0" xfId="11" applyFont="1" applyFill="1"/>
    <xf numFmtId="4" fontId="4" fillId="0" borderId="0" xfId="11" applyNumberFormat="1" applyFont="1"/>
    <xf numFmtId="4" fontId="31" fillId="9" borderId="0" xfId="11" applyNumberFormat="1" applyFont="1" applyFill="1"/>
    <xf numFmtId="4" fontId="31" fillId="0" borderId="0" xfId="11" applyNumberFormat="1" applyFont="1"/>
    <xf numFmtId="0" fontId="2" fillId="0" borderId="0" xfId="3"/>
    <xf numFmtId="0" fontId="8" fillId="3" borderId="27" xfId="4" applyFont="1" applyFill="1" applyBorder="1" applyAlignment="1"/>
    <xf numFmtId="0" fontId="8" fillId="3" borderId="28" xfId="4" applyFont="1" applyFill="1" applyBorder="1" applyAlignment="1"/>
    <xf numFmtId="0" fontId="16" fillId="6" borderId="32" xfId="3" applyFont="1" applyFill="1" applyBorder="1" applyAlignment="1">
      <alignment horizontal="left"/>
    </xf>
    <xf numFmtId="0" fontId="16" fillId="6" borderId="32" xfId="6" applyFill="1" applyBorder="1" applyAlignment="1">
      <alignment horizontal="left"/>
    </xf>
    <xf numFmtId="1" fontId="4" fillId="0" borderId="0" xfId="8" applyNumberFormat="1" applyFont="1" applyFill="1" applyBorder="1" applyAlignment="1">
      <alignment horizontal="right"/>
    </xf>
    <xf numFmtId="1" fontId="16" fillId="6" borderId="33" xfId="8" applyNumberFormat="1" applyFont="1" applyFill="1" applyBorder="1" applyAlignment="1">
      <alignment horizontal="right"/>
    </xf>
    <xf numFmtId="1" fontId="16" fillId="5" borderId="33" xfId="8" applyNumberFormat="1" applyFont="1" applyFill="1" applyBorder="1" applyAlignment="1">
      <alignment horizontal="right"/>
    </xf>
    <xf numFmtId="0" fontId="16" fillId="6" borderId="34" xfId="3" applyFont="1" applyFill="1" applyBorder="1" applyAlignment="1">
      <alignment horizontal="left"/>
    </xf>
    <xf numFmtId="0" fontId="16" fillId="6" borderId="34" xfId="6" applyFill="1" applyBorder="1" applyAlignment="1">
      <alignment horizontal="left"/>
    </xf>
    <xf numFmtId="3" fontId="4" fillId="0" borderId="0" xfId="8" applyNumberFormat="1" applyFont="1" applyFill="1" applyBorder="1" applyAlignment="1">
      <alignment horizontal="right"/>
    </xf>
    <xf numFmtId="3" fontId="16" fillId="6" borderId="0" xfId="8" applyNumberFormat="1" applyFont="1" applyFill="1" applyBorder="1" applyAlignment="1">
      <alignment horizontal="right"/>
    </xf>
    <xf numFmtId="3" fontId="16" fillId="5" borderId="0" xfId="8" applyNumberFormat="1" applyFont="1" applyFill="1" applyBorder="1" applyAlignment="1">
      <alignment horizontal="right"/>
    </xf>
    <xf numFmtId="0" fontId="16" fillId="6" borderId="35" xfId="3" applyFont="1" applyFill="1" applyBorder="1" applyAlignment="1">
      <alignment horizontal="left"/>
    </xf>
    <xf numFmtId="0" fontId="16" fillId="6" borderId="35" xfId="6" applyFill="1" applyBorder="1" applyAlignment="1">
      <alignment horizontal="left"/>
    </xf>
    <xf numFmtId="3" fontId="16" fillId="6" borderId="36" xfId="8" applyNumberFormat="1" applyFont="1" applyFill="1" applyBorder="1" applyAlignment="1">
      <alignment horizontal="right"/>
    </xf>
    <xf numFmtId="3" fontId="16" fillId="5" borderId="36" xfId="8" applyNumberFormat="1" applyFont="1" applyFill="1" applyBorder="1" applyAlignment="1">
      <alignment horizontal="right"/>
    </xf>
    <xf numFmtId="0" fontId="20" fillId="6" borderId="37" xfId="3" applyFont="1" applyFill="1" applyBorder="1" applyAlignment="1">
      <alignment horizontal="left"/>
    </xf>
    <xf numFmtId="0" fontId="20" fillId="6" borderId="37" xfId="6" applyFont="1" applyFill="1" applyBorder="1" applyAlignment="1">
      <alignment horizontal="left"/>
    </xf>
    <xf numFmtId="4" fontId="4" fillId="0" borderId="0" xfId="6" applyNumberFormat="1" applyFont="1" applyAlignment="1">
      <alignment horizontal="right" wrapText="1"/>
    </xf>
    <xf numFmtId="4" fontId="16" fillId="6" borderId="0" xfId="6" applyNumberFormat="1" applyFill="1" applyAlignment="1">
      <alignment horizontal="right" wrapText="1"/>
    </xf>
    <xf numFmtId="4" fontId="16" fillId="5" borderId="0" xfId="6" applyNumberFormat="1" applyFill="1" applyAlignment="1">
      <alignment horizontal="right" wrapText="1"/>
    </xf>
    <xf numFmtId="0" fontId="16" fillId="6" borderId="37" xfId="3" applyFont="1" applyFill="1" applyBorder="1" applyAlignment="1">
      <alignment horizontal="left"/>
    </xf>
    <xf numFmtId="0" fontId="16" fillId="6" borderId="37" xfId="6" applyFill="1" applyBorder="1" applyAlignment="1">
      <alignment horizontal="left"/>
    </xf>
    <xf numFmtId="4" fontId="4" fillId="0" borderId="0" xfId="8" applyNumberFormat="1" applyFont="1" applyFill="1" applyBorder="1" applyAlignment="1">
      <alignment horizontal="right"/>
    </xf>
    <xf numFmtId="4" fontId="16" fillId="6" borderId="0" xfId="8" applyNumberFormat="1" applyFont="1" applyFill="1" applyBorder="1" applyAlignment="1">
      <alignment horizontal="right"/>
    </xf>
    <xf numFmtId="4" fontId="16" fillId="5" borderId="0" xfId="8" applyNumberFormat="1" applyFont="1" applyFill="1" applyBorder="1" applyAlignment="1">
      <alignment horizontal="right"/>
    </xf>
    <xf numFmtId="0" fontId="16" fillId="6" borderId="38" xfId="3" applyFont="1" applyFill="1" applyBorder="1" applyAlignment="1">
      <alignment horizontal="left"/>
    </xf>
    <xf numFmtId="0" fontId="16" fillId="6" borderId="38" xfId="6" applyFill="1" applyBorder="1" applyAlignment="1">
      <alignment horizontal="left"/>
    </xf>
    <xf numFmtId="2" fontId="4" fillId="0" borderId="0" xfId="8" applyNumberFormat="1" applyFont="1" applyFill="1" applyBorder="1" applyAlignment="1">
      <alignment horizontal="right"/>
    </xf>
    <xf numFmtId="2" fontId="16" fillId="6" borderId="36" xfId="8" applyNumberFormat="1" applyFont="1" applyFill="1" applyBorder="1" applyAlignment="1">
      <alignment horizontal="right"/>
    </xf>
    <xf numFmtId="2" fontId="16" fillId="5" borderId="36" xfId="8" applyNumberFormat="1" applyFont="1" applyFill="1" applyBorder="1" applyAlignment="1">
      <alignment horizontal="right"/>
    </xf>
    <xf numFmtId="0" fontId="16" fillId="6" borderId="0" xfId="3" applyFont="1" applyFill="1" applyAlignment="1">
      <alignment horizontal="left"/>
    </xf>
    <xf numFmtId="0" fontId="16" fillId="6" borderId="0" xfId="6" applyFill="1" applyAlignment="1">
      <alignment horizontal="left"/>
    </xf>
    <xf numFmtId="3" fontId="16" fillId="6" borderId="0" xfId="3" applyNumberFormat="1" applyFont="1" applyFill="1" applyAlignment="1">
      <alignment horizontal="right" wrapText="1"/>
    </xf>
    <xf numFmtId="3" fontId="16" fillId="6" borderId="0" xfId="6" applyNumberFormat="1" applyFill="1" applyAlignment="1">
      <alignment horizontal="right" wrapText="1"/>
    </xf>
    <xf numFmtId="0" fontId="20" fillId="6" borderId="39" xfId="3" applyFont="1" applyFill="1" applyBorder="1" applyAlignment="1">
      <alignment horizontal="left"/>
    </xf>
    <xf numFmtId="0" fontId="20" fillId="6" borderId="39" xfId="6" applyFont="1" applyFill="1" applyBorder="1" applyAlignment="1">
      <alignment horizontal="left"/>
    </xf>
    <xf numFmtId="4" fontId="16" fillId="6" borderId="33" xfId="6" applyNumberFormat="1" applyFill="1" applyBorder="1" applyAlignment="1">
      <alignment horizontal="right" wrapText="1"/>
    </xf>
    <xf numFmtId="4" fontId="16" fillId="5" borderId="33" xfId="6" applyNumberFormat="1" applyFill="1" applyBorder="1" applyAlignment="1">
      <alignment horizontal="right" wrapText="1"/>
    </xf>
    <xf numFmtId="166" fontId="4" fillId="0" borderId="0" xfId="10" applyFont="1" applyFill="1" applyBorder="1" applyAlignment="1">
      <alignment horizontal="right" wrapText="1"/>
    </xf>
    <xf numFmtId="166" fontId="16" fillId="6" borderId="0" xfId="10" applyFont="1" applyFill="1" applyBorder="1" applyAlignment="1">
      <alignment horizontal="right" wrapText="1"/>
    </xf>
    <xf numFmtId="166" fontId="16" fillId="5" borderId="0" xfId="10" applyFont="1" applyFill="1" applyBorder="1" applyAlignment="1">
      <alignment horizontal="right" wrapText="1"/>
    </xf>
    <xf numFmtId="0" fontId="16" fillId="6" borderId="40" xfId="3" applyFont="1" applyFill="1" applyBorder="1" applyAlignment="1">
      <alignment horizontal="left"/>
    </xf>
    <xf numFmtId="0" fontId="16" fillId="6" borderId="40" xfId="6" applyFill="1" applyBorder="1" applyAlignment="1">
      <alignment horizontal="left"/>
    </xf>
    <xf numFmtId="2" fontId="16" fillId="6" borderId="41" xfId="8" applyNumberFormat="1" applyFont="1" applyFill="1" applyBorder="1" applyAlignment="1">
      <alignment horizontal="right"/>
    </xf>
    <xf numFmtId="2" fontId="16" fillId="5" borderId="41" xfId="8" applyNumberFormat="1" applyFont="1" applyFill="1" applyBorder="1" applyAlignment="1">
      <alignment horizontal="right"/>
    </xf>
  </cellXfs>
  <cellStyles count="14">
    <cellStyle name="Comma 2" xfId="10" xr:uid="{190159E5-213D-4483-B169-73F7B282B30A}"/>
    <cellStyle name="Normal" xfId="0" builtinId="0"/>
    <cellStyle name="Normal 2" xfId="6" xr:uid="{FE2DE576-6BE2-46FA-983E-EBBCA8AB9AF7}"/>
    <cellStyle name="Normal 2 2" xfId="3" xr:uid="{72E7EF7A-BEFE-4801-8899-22B4A1602486}"/>
    <cellStyle name="Normal 2 2 2 2" xfId="13" xr:uid="{60369A23-3C1C-4932-9135-5775055BEB7A}"/>
    <cellStyle name="Normal 3 2 2 2 2" xfId="7" xr:uid="{95CE8C83-8AE2-4077-95D9-9EB44E3D515D}"/>
    <cellStyle name="Normal 3 2 2 3" xfId="4" xr:uid="{0EC18566-E5CA-4A60-9672-2698F4E012AD}"/>
    <cellStyle name="Normal 3 2 2 3 2" xfId="12" xr:uid="{B15ACDD5-31A6-4272-8C90-455A77CE50CF}"/>
    <cellStyle name="Normal 4" xfId="9" xr:uid="{C04F9524-950A-4EA5-A495-F7B542B08A80}"/>
    <cellStyle name="Normal 5 2" xfId="11" xr:uid="{BA775F5E-A279-4376-818D-E587BFC23C16}"/>
    <cellStyle name="Normal 8" xfId="1" xr:uid="{ED7D65F2-2CB0-48C4-BB4F-ACA81682A38D}"/>
    <cellStyle name="Normal 8 4" xfId="2" xr:uid="{7BB82E5A-9307-45F7-92CF-B2BBE8AD2D72}"/>
    <cellStyle name="Percent 2" xfId="8" xr:uid="{AACD3F7A-BDF8-4968-9ED8-E310F4698E41}"/>
    <cellStyle name="Percent 3" xfId="5" xr:uid="{BA060712-204E-4697-A979-03837A4FF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pivara-my.sharepoint.com/personal/mithat_hodzic_pivara_ba/Documents/Pivara%202025/SKUP&#352;TINA%202025/OBVEZNICE/ARIJANA/Projekcija%202025-2035-%20EOS%20MATRIX%20-KONACNI.xlsx" TargetMode="External"/><Relationship Id="rId1" Type="http://schemas.openxmlformats.org/officeDocument/2006/relationships/externalLinkPath" Target="/personal/mithat_hodzic_pivara_ba/Documents/Pivara%202025/SKUP&#352;TINA%202025/OBVEZNICE/ARIJANA/Projekcija%202025-2035-%20EOS%20MATRIX%20-KONAC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idar\Downloads\KPI-Upload-Examp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dahrustic/Desktop/TF0398697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tpostavke  za plan"/>
      <sheetName val="FM 2025-2034"/>
      <sheetName val="Krediti Banaka"/>
      <sheetName val="EOS MATRIX"/>
      <sheetName val="EMISIJA OBVEZNICA"/>
      <sheetName val="IGA"/>
      <sheetName val="PROMJENE-STALNA SREDSTVA"/>
      <sheetName val="STALNA SREDSTVA"/>
      <sheetName val="SPORAZUM"/>
      <sheetName val="KONCESIJA I VIK"/>
    </sheetNames>
    <sheetDataSet>
      <sheetData sheetId="0"/>
      <sheetData sheetId="1"/>
      <sheetData sheetId="2">
        <row r="33">
          <cell r="C33">
            <v>2327089.0576748629</v>
          </cell>
          <cell r="D33">
            <v>3696575.9718047255</v>
          </cell>
          <cell r="E33">
            <v>967112.3895389383</v>
          </cell>
          <cell r="F33">
            <v>961643.8356164383</v>
          </cell>
          <cell r="G33">
            <v>961643.8356164383</v>
          </cell>
          <cell r="H33">
            <v>400684.9315068493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>
            <v>35943594.289999999</v>
          </cell>
          <cell r="D34">
            <v>15600469.050000001</v>
          </cell>
          <cell r="E34">
            <v>15257343.810000001</v>
          </cell>
          <cell r="F34">
            <v>15000000</v>
          </cell>
          <cell r="G34">
            <v>15000000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</sheetData>
      <sheetData sheetId="3"/>
      <sheetData sheetId="4"/>
      <sheetData sheetId="5"/>
      <sheetData sheetId="6">
        <row r="10">
          <cell r="F10">
            <v>7173368</v>
          </cell>
        </row>
      </sheetData>
      <sheetData sheetId="7">
        <row r="7">
          <cell r="C7">
            <v>77448.800000000047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11">
          <cell r="F11">
            <v>800000</v>
          </cell>
          <cell r="G11">
            <v>600000</v>
          </cell>
          <cell r="H11">
            <v>400000</v>
          </cell>
          <cell r="I11">
            <v>200000</v>
          </cell>
          <cell r="J11">
            <v>0</v>
          </cell>
          <cell r="K11">
            <v>0</v>
          </cell>
          <cell r="L11">
            <v>0</v>
          </cell>
        </row>
        <row r="13">
          <cell r="B13">
            <v>313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6203105</v>
          </cell>
          <cell r="D15">
            <v>6203105</v>
          </cell>
          <cell r="E15">
            <v>6203105</v>
          </cell>
          <cell r="F15">
            <v>6203105</v>
          </cell>
          <cell r="G15">
            <v>6203105</v>
          </cell>
          <cell r="H15">
            <v>6203105</v>
          </cell>
          <cell r="I15">
            <v>6203105</v>
          </cell>
          <cell r="J15">
            <v>6203105</v>
          </cell>
          <cell r="K15">
            <v>6203105</v>
          </cell>
          <cell r="L15">
            <v>6203105</v>
          </cell>
        </row>
        <row r="22">
          <cell r="C22">
            <v>69819486.5</v>
          </cell>
          <cell r="D22">
            <v>68357153.395999998</v>
          </cell>
          <cell r="E22">
            <v>66894820.291999996</v>
          </cell>
          <cell r="F22">
            <v>70892487.187999994</v>
          </cell>
          <cell r="G22">
            <v>69331874.083999991</v>
          </cell>
          <cell r="H22">
            <v>67771260.980000004</v>
          </cell>
          <cell r="I22">
            <v>66210647.876000002</v>
          </cell>
          <cell r="J22">
            <v>64650034.772</v>
          </cell>
          <cell r="K22">
            <v>63089421.668000005</v>
          </cell>
          <cell r="L22">
            <v>61528808.56400001</v>
          </cell>
        </row>
        <row r="28">
          <cell r="C28">
            <v>2283208.7999999998</v>
          </cell>
          <cell r="D28">
            <v>1799906.6</v>
          </cell>
          <cell r="E28">
            <v>2676604.4</v>
          </cell>
          <cell r="F28">
            <v>1853302.1999999997</v>
          </cell>
          <cell r="G28">
            <v>1029999.9999999995</v>
          </cell>
          <cell r="H28">
            <v>206697.79999999935</v>
          </cell>
          <cell r="I28">
            <v>0</v>
          </cell>
        </row>
        <row r="34">
          <cell r="C34">
            <v>109090.4</v>
          </cell>
          <cell r="D34">
            <v>81817.799999999988</v>
          </cell>
          <cell r="E34">
            <v>1926545.2</v>
          </cell>
          <cell r="F34">
            <v>1431272.5999999999</v>
          </cell>
          <cell r="G34">
            <v>935999.99999999977</v>
          </cell>
          <cell r="H34">
            <v>440727.39999999967</v>
          </cell>
          <cell r="I34">
            <v>0</v>
          </cell>
        </row>
        <row r="36">
          <cell r="C36">
            <v>2135274.5</v>
          </cell>
          <cell r="D36">
            <v>2050356.7039999999</v>
          </cell>
          <cell r="E36">
            <v>2780907.9040000001</v>
          </cell>
          <cell r="F36">
            <v>2980907.9040000001</v>
          </cell>
          <cell r="G36">
            <v>3079187.9040000001</v>
          </cell>
          <cell r="H36">
            <v>3079187.9040000001</v>
          </cell>
          <cell r="I36">
            <v>2408038.3039999986</v>
          </cell>
          <cell r="J36">
            <v>1760613.1039999998</v>
          </cell>
          <cell r="K36">
            <v>1560613.1039999998</v>
          </cell>
          <cell r="L36">
            <v>1560613.1039999998</v>
          </cell>
        </row>
      </sheetData>
      <sheetData sheetId="8">
        <row r="24">
          <cell r="S24">
            <v>32185.169280000009</v>
          </cell>
        </row>
        <row r="36">
          <cell r="S36">
            <v>11449.169279999996</v>
          </cell>
        </row>
        <row r="37">
          <cell r="S37">
            <v>18.100000000000001</v>
          </cell>
        </row>
      </sheetData>
      <sheetData sheetId="9">
        <row r="16">
          <cell r="C16">
            <v>158333</v>
          </cell>
          <cell r="H16">
            <v>224251</v>
          </cell>
        </row>
        <row r="28">
          <cell r="C28">
            <v>8333</v>
          </cell>
          <cell r="H28">
            <v>38251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"/>
    </sheetNames>
    <sheetDataSet>
      <sheetData sheetId="0"/>
      <sheetData sheetId="1">
        <row r="2">
          <cell r="B2" t="str">
            <v>Daily</v>
          </cell>
          <cell r="C2" t="str">
            <v>1,234</v>
          </cell>
          <cell r="D2" t="str">
            <v>None</v>
          </cell>
        </row>
        <row r="3">
          <cell r="B3" t="str">
            <v>Weekly</v>
          </cell>
          <cell r="C3" t="str">
            <v>1,234.56</v>
          </cell>
          <cell r="D3" t="str">
            <v>Up</v>
          </cell>
        </row>
        <row r="4">
          <cell r="B4" t="str">
            <v>Monthly</v>
          </cell>
          <cell r="C4" t="str">
            <v>12%</v>
          </cell>
          <cell r="D4" t="str">
            <v>Down</v>
          </cell>
        </row>
        <row r="5">
          <cell r="B5" t="str">
            <v>Quarterly</v>
          </cell>
          <cell r="C5" t="str">
            <v>12.34%</v>
          </cell>
        </row>
        <row r="6">
          <cell r="B6" t="str">
            <v>Yearly</v>
          </cell>
          <cell r="C6" t="str">
            <v>$1,234.56</v>
          </cell>
        </row>
        <row r="7">
          <cell r="C7" t="str">
            <v>£1,234.56</v>
          </cell>
        </row>
        <row r="8">
          <cell r="C8" t="str">
            <v>€1,234.56</v>
          </cell>
        </row>
        <row r="9">
          <cell r="C9" t="str">
            <v>¥1,234.56</v>
          </cell>
        </row>
        <row r="10">
          <cell r="C10" t="str">
            <v>12 secs</v>
          </cell>
        </row>
        <row r="11">
          <cell r="C11" t="str">
            <v>12 mins</v>
          </cell>
        </row>
        <row r="12">
          <cell r="C12" t="str">
            <v>12 hrs</v>
          </cell>
        </row>
        <row r="13">
          <cell r="C13" t="str">
            <v>12 wks</v>
          </cell>
        </row>
        <row r="14">
          <cell r="C14" t="str">
            <v>12 mths</v>
          </cell>
        </row>
        <row r="15">
          <cell r="C15" t="str">
            <v>12 qtrs</v>
          </cell>
        </row>
        <row r="16">
          <cell r="C16" t="str">
            <v>12 yrs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F03986974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6775-BC1C-4E5C-93FF-C71DC856CE2C}">
  <dimension ref="A1:BG257"/>
  <sheetViews>
    <sheetView tabSelected="1" topLeftCell="B1" zoomScale="85" zoomScaleNormal="85" workbookViewId="0">
      <pane ySplit="5" topLeftCell="A101" activePane="bottomLeft" state="frozen"/>
      <selection activeCell="C1" sqref="C1"/>
      <selection pane="bottomLeft" activeCell="C2" sqref="C2"/>
    </sheetView>
  </sheetViews>
  <sheetFormatPr defaultColWidth="12.453125" defaultRowHeight="12.5" outlineLevelRow="1" outlineLevelCol="1" x14ac:dyDescent="0.25"/>
  <cols>
    <col min="1" max="1" width="27.54296875" style="1" hidden="1" customWidth="1" outlineLevel="1"/>
    <col min="2" max="2" width="34" style="2" customWidth="1" collapsed="1"/>
    <col min="3" max="3" width="39.7265625" style="1" customWidth="1"/>
    <col min="4" max="4" width="0.1796875" style="4" customWidth="1" collapsed="1"/>
    <col min="5" max="5" width="14.81640625" style="5" customWidth="1" collapsed="1"/>
    <col min="6" max="15" width="14.81640625" style="5" customWidth="1"/>
    <col min="16" max="16384" width="12.453125" style="1"/>
  </cols>
  <sheetData>
    <row r="1" spans="1:15" ht="15" customHeight="1" outlineLevel="1" x14ac:dyDescent="0.3">
      <c r="B1" s="2" t="s">
        <v>0</v>
      </c>
      <c r="C1" s="3" t="s">
        <v>1</v>
      </c>
      <c r="E1" s="5">
        <v>1.02</v>
      </c>
      <c r="F1" s="5">
        <v>1.04</v>
      </c>
      <c r="G1" s="5">
        <v>1.01</v>
      </c>
      <c r="H1" s="5">
        <v>1.01</v>
      </c>
      <c r="I1" s="5">
        <v>1.01</v>
      </c>
      <c r="J1" s="5">
        <v>1.01</v>
      </c>
      <c r="K1" s="5">
        <v>1.01</v>
      </c>
      <c r="L1" s="5">
        <v>1.01</v>
      </c>
      <c r="M1" s="5">
        <v>1.01</v>
      </c>
      <c r="N1" s="5">
        <v>1.01</v>
      </c>
      <c r="O1" s="5">
        <v>1.01</v>
      </c>
    </row>
    <row r="2" spans="1:15" ht="15" customHeight="1" outlineLevel="1" x14ac:dyDescent="0.3">
      <c r="C2" s="3" t="s">
        <v>2</v>
      </c>
      <c r="E2" s="5">
        <v>1.01</v>
      </c>
      <c r="F2" s="5">
        <v>1.01</v>
      </c>
      <c r="G2" s="5">
        <v>1.01</v>
      </c>
      <c r="H2" s="5">
        <v>1.01</v>
      </c>
      <c r="I2" s="5">
        <v>1.01</v>
      </c>
      <c r="J2" s="5">
        <v>1.01</v>
      </c>
      <c r="K2" s="5">
        <v>1.01</v>
      </c>
      <c r="L2" s="5">
        <v>1.01</v>
      </c>
      <c r="M2" s="5">
        <v>1.01</v>
      </c>
      <c r="N2" s="5">
        <v>1.01</v>
      </c>
      <c r="O2" s="5">
        <v>1.01</v>
      </c>
    </row>
    <row r="3" spans="1:15" ht="13.5" thickBot="1" x14ac:dyDescent="0.35">
      <c r="B3" s="6" t="s">
        <v>2</v>
      </c>
      <c r="C3" s="7"/>
      <c r="D3" s="8"/>
      <c r="E3" s="9">
        <v>360</v>
      </c>
      <c r="F3" s="9">
        <v>360</v>
      </c>
      <c r="G3" s="9">
        <v>360</v>
      </c>
      <c r="H3" s="9">
        <v>360</v>
      </c>
      <c r="I3" s="9">
        <v>360</v>
      </c>
      <c r="J3" s="9">
        <v>360</v>
      </c>
      <c r="K3" s="9">
        <v>360</v>
      </c>
      <c r="L3" s="9">
        <v>360</v>
      </c>
      <c r="M3" s="9">
        <v>360</v>
      </c>
      <c r="N3" s="9">
        <v>360</v>
      </c>
      <c r="O3" s="9">
        <v>360</v>
      </c>
    </row>
    <row r="4" spans="1:15" ht="13.5" thickBot="1" x14ac:dyDescent="0.35">
      <c r="B4" s="10" t="s">
        <v>3</v>
      </c>
      <c r="C4" s="10" t="s">
        <v>4</v>
      </c>
      <c r="D4" s="11"/>
      <c r="E4" s="12">
        <v>2024</v>
      </c>
      <c r="F4" s="13" t="s">
        <v>5</v>
      </c>
      <c r="G4" s="13" t="s">
        <v>5</v>
      </c>
      <c r="H4" s="13" t="s">
        <v>5</v>
      </c>
      <c r="I4" s="13" t="s">
        <v>5</v>
      </c>
      <c r="J4" s="13" t="s">
        <v>5</v>
      </c>
      <c r="K4" s="13" t="s">
        <v>5</v>
      </c>
      <c r="L4" s="13" t="s">
        <v>5</v>
      </c>
      <c r="M4" s="13" t="s">
        <v>5</v>
      </c>
      <c r="N4" s="13" t="s">
        <v>5</v>
      </c>
      <c r="O4" s="13" t="s">
        <v>5</v>
      </c>
    </row>
    <row r="5" spans="1:15" s="14" customFormat="1" ht="13" x14ac:dyDescent="0.3">
      <c r="B5" s="15" t="s">
        <v>6</v>
      </c>
      <c r="C5" s="15" t="s">
        <v>7</v>
      </c>
      <c r="D5" s="16"/>
      <c r="E5" s="17" t="s">
        <v>8</v>
      </c>
      <c r="F5" s="18">
        <v>2025</v>
      </c>
      <c r="G5" s="18">
        <v>2026</v>
      </c>
      <c r="H5" s="18">
        <v>2027</v>
      </c>
      <c r="I5" s="18">
        <v>2028</v>
      </c>
      <c r="J5" s="18">
        <v>2029</v>
      </c>
      <c r="K5" s="18">
        <v>2030</v>
      </c>
      <c r="L5" s="18">
        <v>2031</v>
      </c>
      <c r="M5" s="18">
        <v>2032</v>
      </c>
      <c r="N5" s="18">
        <v>2033</v>
      </c>
      <c r="O5" s="18">
        <v>2034</v>
      </c>
    </row>
    <row r="6" spans="1:15" s="14" customFormat="1" x14ac:dyDescent="0.25">
      <c r="B6" s="19"/>
      <c r="C6" s="19" t="s">
        <v>8</v>
      </c>
      <c r="D6" s="20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s="23" customFormat="1" ht="13" x14ac:dyDescent="0.3">
      <c r="B7" s="24" t="s">
        <v>9</v>
      </c>
      <c r="C7" s="24" t="s">
        <v>10</v>
      </c>
      <c r="D7" s="11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B8" s="27" t="s">
        <v>11</v>
      </c>
      <c r="C8" s="28" t="s">
        <v>12</v>
      </c>
      <c r="D8" s="29"/>
      <c r="E8" s="30">
        <v>25037.88</v>
      </c>
      <c r="F8" s="31">
        <f t="shared" ref="F8:O8" si="0">SUM(F9:F12)</f>
        <v>26039.52</v>
      </c>
      <c r="G8" s="31">
        <f t="shared" si="0"/>
        <v>27081.1008</v>
      </c>
      <c r="H8" s="31">
        <f t="shared" si="0"/>
        <v>28164.344832000002</v>
      </c>
      <c r="I8" s="31">
        <f t="shared" si="0"/>
        <v>29290.918625280003</v>
      </c>
      <c r="J8" s="31">
        <f t="shared" si="0"/>
        <v>30462.555370291204</v>
      </c>
      <c r="K8" s="31">
        <f t="shared" si="0"/>
        <v>31681.057585102852</v>
      </c>
      <c r="L8" s="31">
        <f t="shared" si="0"/>
        <v>32948.299888506968</v>
      </c>
      <c r="M8" s="31">
        <f t="shared" si="0"/>
        <v>34266.231884047251</v>
      </c>
      <c r="N8" s="31">
        <f t="shared" si="0"/>
        <v>35636.881159409138</v>
      </c>
      <c r="O8" s="31">
        <f t="shared" si="0"/>
        <v>37062.356405785504</v>
      </c>
    </row>
    <row r="9" spans="1:15" s="32" customFormat="1" outlineLevel="1" x14ac:dyDescent="0.25">
      <c r="A9" s="32" t="s">
        <v>13</v>
      </c>
      <c r="B9" s="33" t="s">
        <v>14</v>
      </c>
      <c r="C9" s="33" t="s">
        <v>15</v>
      </c>
      <c r="D9" s="29"/>
      <c r="E9" s="30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 s="32" customFormat="1" outlineLevel="1" x14ac:dyDescent="0.25">
      <c r="A10" s="32" t="s">
        <v>16</v>
      </c>
      <c r="B10" s="33" t="s">
        <v>17</v>
      </c>
      <c r="C10" s="33" t="s">
        <v>18</v>
      </c>
      <c r="D10" s="29"/>
      <c r="E10" s="30">
        <v>25038</v>
      </c>
      <c r="F10" s="34">
        <f>E10*$F$1</f>
        <v>26039.52</v>
      </c>
      <c r="G10" s="34">
        <f t="shared" ref="G10:I11" si="1">F10*$F$1</f>
        <v>27081.1008</v>
      </c>
      <c r="H10" s="34">
        <f t="shared" si="1"/>
        <v>28164.344832000002</v>
      </c>
      <c r="I10" s="34">
        <f t="shared" si="1"/>
        <v>29290.918625280003</v>
      </c>
      <c r="J10" s="34">
        <f>I10*$F$1</f>
        <v>30462.555370291204</v>
      </c>
      <c r="K10" s="34">
        <f t="shared" ref="K10:K11" si="2">J10*$F$1</f>
        <v>31681.057585102852</v>
      </c>
      <c r="L10" s="34">
        <f>K10*$F$1</f>
        <v>32948.299888506968</v>
      </c>
      <c r="M10" s="34">
        <f t="shared" ref="M10:O11" si="3">L10*$F$1</f>
        <v>34266.231884047251</v>
      </c>
      <c r="N10" s="34">
        <f t="shared" si="3"/>
        <v>35636.881159409138</v>
      </c>
      <c r="O10" s="34">
        <f t="shared" si="3"/>
        <v>37062.356405785504</v>
      </c>
    </row>
    <row r="11" spans="1:15" s="32" customFormat="1" outlineLevel="1" x14ac:dyDescent="0.25">
      <c r="A11" s="32" t="s">
        <v>19</v>
      </c>
      <c r="B11" s="33" t="s">
        <v>20</v>
      </c>
      <c r="C11" s="33" t="s">
        <v>21</v>
      </c>
      <c r="D11" s="29"/>
      <c r="E11" s="30">
        <v>0</v>
      </c>
      <c r="F11" s="34">
        <f>E11*$F$1</f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>I11*$F$1</f>
        <v>0</v>
      </c>
      <c r="K11" s="34">
        <f t="shared" si="2"/>
        <v>0</v>
      </c>
      <c r="L11" s="34">
        <f>K11*$F$1</f>
        <v>0</v>
      </c>
      <c r="M11" s="34">
        <f t="shared" si="3"/>
        <v>0</v>
      </c>
      <c r="N11" s="34">
        <f t="shared" si="3"/>
        <v>0</v>
      </c>
      <c r="O11" s="34">
        <f t="shared" si="3"/>
        <v>0</v>
      </c>
    </row>
    <row r="12" spans="1:15" s="32" customFormat="1" outlineLevel="1" x14ac:dyDescent="0.25">
      <c r="A12" s="32" t="s">
        <v>22</v>
      </c>
      <c r="B12" s="33" t="s">
        <v>23</v>
      </c>
      <c r="C12" s="33" t="s">
        <v>24</v>
      </c>
      <c r="D12" s="29"/>
      <c r="E12" s="30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x14ac:dyDescent="0.25">
      <c r="B13" s="27" t="s">
        <v>25</v>
      </c>
      <c r="C13" s="28" t="s">
        <v>26</v>
      </c>
      <c r="D13" s="29"/>
      <c r="E13" s="35">
        <f>SUM(E14:E18)</f>
        <v>28481752</v>
      </c>
      <c r="F13" s="31">
        <f t="shared" ref="F13:O13" si="4">SUM(F14:F18)</f>
        <v>30032199.859999999</v>
      </c>
      <c r="G13" s="31">
        <f t="shared" si="4"/>
        <v>30332521.858599998</v>
      </c>
      <c r="H13" s="31">
        <f t="shared" si="4"/>
        <v>30656611.555075999</v>
      </c>
      <c r="I13" s="31">
        <f t="shared" si="4"/>
        <v>30963177.67062676</v>
      </c>
      <c r="J13" s="31">
        <f t="shared" si="4"/>
        <v>31272809.44733303</v>
      </c>
      <c r="K13" s="31">
        <f t="shared" si="4"/>
        <v>31585537.541806359</v>
      </c>
      <c r="L13" s="31">
        <f t="shared" si="4"/>
        <v>31901392.917224422</v>
      </c>
      <c r="M13" s="31">
        <f t="shared" si="4"/>
        <v>32220406.84639667</v>
      </c>
      <c r="N13" s="31">
        <f t="shared" si="4"/>
        <v>32542610.914860636</v>
      </c>
      <c r="O13" s="31">
        <f t="shared" si="4"/>
        <v>32868037.024009243</v>
      </c>
    </row>
    <row r="14" spans="1:15" s="32" customFormat="1" outlineLevel="1" x14ac:dyDescent="0.25">
      <c r="A14" s="32" t="s">
        <v>27</v>
      </c>
      <c r="B14" s="33" t="s">
        <v>14</v>
      </c>
      <c r="C14" s="33" t="s">
        <v>15</v>
      </c>
      <c r="D14" s="29"/>
      <c r="E14" s="30">
        <f>D14*1.03</f>
        <v>0</v>
      </c>
      <c r="F14" s="34">
        <f t="shared" ref="F14:O22" si="5">E14*$F$1</f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</row>
    <row r="15" spans="1:15" s="32" customFormat="1" outlineLevel="1" x14ac:dyDescent="0.25">
      <c r="A15" s="32" t="s">
        <v>28</v>
      </c>
      <c r="B15" s="33" t="s">
        <v>17</v>
      </c>
      <c r="C15" s="33" t="s">
        <v>18</v>
      </c>
      <c r="D15" s="29"/>
      <c r="E15" s="30">
        <v>5390277</v>
      </c>
      <c r="F15" s="34">
        <f>+E15*F1</f>
        <v>5605888.0800000001</v>
      </c>
      <c r="G15" s="34">
        <f t="shared" ref="G15:O15" si="6">+F15*G1</f>
        <v>5661946.9608000005</v>
      </c>
      <c r="H15" s="34">
        <f t="shared" si="6"/>
        <v>5718566.4304080009</v>
      </c>
      <c r="I15" s="34">
        <f t="shared" si="6"/>
        <v>5775752.0947120814</v>
      </c>
      <c r="J15" s="34">
        <f t="shared" si="6"/>
        <v>5833509.6156592024</v>
      </c>
      <c r="K15" s="34">
        <f t="shared" si="6"/>
        <v>5891844.7118157949</v>
      </c>
      <c r="L15" s="34">
        <f t="shared" si="6"/>
        <v>5950763.1589339534</v>
      </c>
      <c r="M15" s="34">
        <f t="shared" si="6"/>
        <v>6010270.7905232934</v>
      </c>
      <c r="N15" s="34">
        <f t="shared" si="6"/>
        <v>6070373.4984285263</v>
      </c>
      <c r="O15" s="34">
        <f t="shared" si="6"/>
        <v>6131077.2334128115</v>
      </c>
    </row>
    <row r="16" spans="1:15" s="32" customFormat="1" outlineLevel="1" x14ac:dyDescent="0.25">
      <c r="A16" s="32" t="s">
        <v>29</v>
      </c>
      <c r="B16" s="33" t="s">
        <v>20</v>
      </c>
      <c r="C16" s="33" t="s">
        <v>21</v>
      </c>
      <c r="D16" s="29"/>
      <c r="E16" s="30">
        <v>21510022</v>
      </c>
      <c r="F16" s="34">
        <f>+E16*F1</f>
        <v>22370422.879999999</v>
      </c>
      <c r="G16" s="34">
        <f t="shared" ref="G16:O16" si="7">+F16*G1</f>
        <v>22594127.108799998</v>
      </c>
      <c r="H16" s="34">
        <f t="shared" si="7"/>
        <v>22820068.379887998</v>
      </c>
      <c r="I16" s="34">
        <f t="shared" si="7"/>
        <v>23048269.063686877</v>
      </c>
      <c r="J16" s="34">
        <f t="shared" si="7"/>
        <v>23278751.754323747</v>
      </c>
      <c r="K16" s="34">
        <f t="shared" si="7"/>
        <v>23511539.271866985</v>
      </c>
      <c r="L16" s="34">
        <f t="shared" si="7"/>
        <v>23746654.664585654</v>
      </c>
      <c r="M16" s="34">
        <f t="shared" si="7"/>
        <v>23984121.211231511</v>
      </c>
      <c r="N16" s="34">
        <f t="shared" si="7"/>
        <v>24223962.423343826</v>
      </c>
      <c r="O16" s="34">
        <f t="shared" si="7"/>
        <v>24466202.047577266</v>
      </c>
    </row>
    <row r="17" spans="1:15" s="32" customFormat="1" outlineLevel="1" x14ac:dyDescent="0.25">
      <c r="A17" s="32" t="s">
        <v>30</v>
      </c>
      <c r="B17" s="33" t="s">
        <v>31</v>
      </c>
      <c r="C17" s="33" t="s">
        <v>32</v>
      </c>
      <c r="D17" s="29"/>
      <c r="E17" s="30">
        <v>1581453</v>
      </c>
      <c r="F17" s="34">
        <f>E17*1.3</f>
        <v>2055888.9000000001</v>
      </c>
      <c r="G17" s="34">
        <f>+F17*G1</f>
        <v>2076447.7890000001</v>
      </c>
      <c r="H17" s="34">
        <f>+G17*1.02</f>
        <v>2117976.7447800003</v>
      </c>
      <c r="I17" s="34">
        <f t="shared" ref="I17:O17" si="8">+H17*I1</f>
        <v>2139156.5122278002</v>
      </c>
      <c r="J17" s="34">
        <f t="shared" si="8"/>
        <v>2160548.0773500782</v>
      </c>
      <c r="K17" s="34">
        <f t="shared" si="8"/>
        <v>2182153.5581235788</v>
      </c>
      <c r="L17" s="34">
        <f t="shared" si="8"/>
        <v>2203975.0937048146</v>
      </c>
      <c r="M17" s="34">
        <f t="shared" si="8"/>
        <v>2226014.8446418629</v>
      </c>
      <c r="N17" s="34">
        <f t="shared" si="8"/>
        <v>2248274.9930882817</v>
      </c>
      <c r="O17" s="34">
        <f t="shared" si="8"/>
        <v>2270757.7430191645</v>
      </c>
    </row>
    <row r="18" spans="1:15" s="32" customFormat="1" outlineLevel="1" x14ac:dyDescent="0.25">
      <c r="A18" s="32" t="s">
        <v>33</v>
      </c>
      <c r="B18" s="33" t="s">
        <v>23</v>
      </c>
      <c r="C18" s="33" t="s">
        <v>24</v>
      </c>
      <c r="D18" s="29"/>
      <c r="E18" s="30">
        <v>0</v>
      </c>
      <c r="F18" s="34">
        <f t="shared" si="5"/>
        <v>0</v>
      </c>
      <c r="G18" s="34">
        <f t="shared" si="5"/>
        <v>0</v>
      </c>
      <c r="H18" s="34">
        <f t="shared" si="5"/>
        <v>0</v>
      </c>
      <c r="I18" s="34">
        <f t="shared" si="5"/>
        <v>0</v>
      </c>
      <c r="J18" s="34">
        <f t="shared" si="5"/>
        <v>0</v>
      </c>
      <c r="K18" s="34">
        <f t="shared" si="5"/>
        <v>0</v>
      </c>
      <c r="L18" s="34">
        <f t="shared" si="5"/>
        <v>0</v>
      </c>
      <c r="M18" s="34">
        <f t="shared" si="5"/>
        <v>0</v>
      </c>
      <c r="N18" s="34">
        <f t="shared" si="5"/>
        <v>0</v>
      </c>
      <c r="O18" s="34">
        <f t="shared" si="5"/>
        <v>0</v>
      </c>
    </row>
    <row r="19" spans="1:15" x14ac:dyDescent="0.25">
      <c r="A19" s="36" t="s">
        <v>34</v>
      </c>
      <c r="B19" s="27" t="s">
        <v>35</v>
      </c>
      <c r="C19" s="28" t="s">
        <v>36</v>
      </c>
      <c r="D19" s="29"/>
      <c r="E19" s="37"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  <c r="J19" s="31">
        <f t="shared" si="5"/>
        <v>0</v>
      </c>
      <c r="K19" s="31">
        <f t="shared" si="5"/>
        <v>0</v>
      </c>
      <c r="L19" s="31">
        <f t="shared" si="5"/>
        <v>0</v>
      </c>
      <c r="M19" s="31">
        <f t="shared" si="5"/>
        <v>0</v>
      </c>
      <c r="N19" s="31">
        <f t="shared" si="5"/>
        <v>0</v>
      </c>
      <c r="O19" s="31">
        <f t="shared" si="5"/>
        <v>0</v>
      </c>
    </row>
    <row r="20" spans="1:15" x14ac:dyDescent="0.25">
      <c r="A20" s="36" t="s">
        <v>37</v>
      </c>
      <c r="B20" s="27" t="s">
        <v>38</v>
      </c>
      <c r="C20" s="28" t="s">
        <v>39</v>
      </c>
      <c r="D20" s="29"/>
      <c r="E20" s="37">
        <v>212050</v>
      </c>
      <c r="F20" s="31">
        <f>E20*$F$1</f>
        <v>220532</v>
      </c>
      <c r="G20" s="31">
        <f t="shared" si="5"/>
        <v>229353.28</v>
      </c>
      <c r="H20" s="31">
        <f t="shared" si="5"/>
        <v>238527.4112</v>
      </c>
      <c r="I20" s="31">
        <f t="shared" si="5"/>
        <v>248068.507648</v>
      </c>
      <c r="J20" s="31">
        <f t="shared" si="5"/>
        <v>257991.24795392001</v>
      </c>
      <c r="K20" s="31">
        <f t="shared" si="5"/>
        <v>268310.89787207684</v>
      </c>
      <c r="L20" s="31">
        <f t="shared" si="5"/>
        <v>279043.33378695993</v>
      </c>
      <c r="M20" s="31">
        <f t="shared" si="5"/>
        <v>290205.06713843835</v>
      </c>
      <c r="N20" s="31">
        <f t="shared" si="5"/>
        <v>301813.26982397586</v>
      </c>
      <c r="O20" s="31">
        <f t="shared" si="5"/>
        <v>313885.8006169349</v>
      </c>
    </row>
    <row r="21" spans="1:15" x14ac:dyDescent="0.25">
      <c r="A21" s="36" t="s">
        <v>40</v>
      </c>
      <c r="B21" s="27" t="s">
        <v>41</v>
      </c>
      <c r="C21" s="28" t="s">
        <v>42</v>
      </c>
      <c r="D21" s="29"/>
      <c r="E21" s="37">
        <f>D21*1.03</f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</row>
    <row r="22" spans="1:15" x14ac:dyDescent="0.25">
      <c r="A22" s="36" t="s">
        <v>43</v>
      </c>
      <c r="B22" s="27" t="s">
        <v>44</v>
      </c>
      <c r="C22" s="28" t="s">
        <v>45</v>
      </c>
      <c r="D22" s="29"/>
      <c r="E22" s="37">
        <f>D22*1.03</f>
        <v>0</v>
      </c>
      <c r="F22" s="31">
        <f t="shared" si="5"/>
        <v>0</v>
      </c>
      <c r="G22" s="31">
        <f t="shared" si="5"/>
        <v>0</v>
      </c>
      <c r="H22" s="31">
        <f t="shared" si="5"/>
        <v>0</v>
      </c>
      <c r="I22" s="31">
        <f t="shared" si="5"/>
        <v>0</v>
      </c>
      <c r="J22" s="31">
        <f t="shared" si="5"/>
        <v>0</v>
      </c>
      <c r="K22" s="31">
        <f t="shared" si="5"/>
        <v>0</v>
      </c>
      <c r="L22" s="31">
        <f t="shared" si="5"/>
        <v>0</v>
      </c>
      <c r="M22" s="31">
        <f t="shared" si="5"/>
        <v>0</v>
      </c>
      <c r="N22" s="31">
        <f t="shared" si="5"/>
        <v>0</v>
      </c>
      <c r="O22" s="31">
        <f t="shared" si="5"/>
        <v>0</v>
      </c>
    </row>
    <row r="23" spans="1:15" ht="13" x14ac:dyDescent="0.25">
      <c r="B23" s="38" t="s">
        <v>46</v>
      </c>
      <c r="C23" s="38" t="s">
        <v>47</v>
      </c>
      <c r="D23" s="39"/>
      <c r="E23" s="40">
        <f>E8+E13+SUM(E19:E22)</f>
        <v>28718839.879999999</v>
      </c>
      <c r="F23" s="41">
        <f t="shared" ref="F23:M23" si="9">F8+F13+SUM(F19:F22)</f>
        <v>30278771.379999999</v>
      </c>
      <c r="G23" s="41">
        <f t="shared" si="9"/>
        <v>30588956.239399999</v>
      </c>
      <c r="H23" s="41">
        <f t="shared" si="9"/>
        <v>30923303.311108001</v>
      </c>
      <c r="I23" s="41">
        <f t="shared" si="9"/>
        <v>31240537.096900038</v>
      </c>
      <c r="J23" s="41">
        <f t="shared" si="9"/>
        <v>31561263.250657242</v>
      </c>
      <c r="K23" s="41">
        <f t="shared" si="9"/>
        <v>31885529.497263536</v>
      </c>
      <c r="L23" s="41">
        <f t="shared" si="9"/>
        <v>32213384.550899889</v>
      </c>
      <c r="M23" s="41">
        <f t="shared" si="9"/>
        <v>32544878.145419154</v>
      </c>
      <c r="N23" s="41">
        <f t="shared" ref="N23:O23" si="10">N8+N13+SUM(N19:N22)</f>
        <v>32880061.065844022</v>
      </c>
      <c r="O23" s="41">
        <f t="shared" si="10"/>
        <v>33218985.181031965</v>
      </c>
    </row>
    <row r="24" spans="1:15" ht="4.5" customHeight="1" x14ac:dyDescent="0.25">
      <c r="B24" s="42"/>
      <c r="C24" s="42"/>
      <c r="D24" s="43"/>
      <c r="E24" s="44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x14ac:dyDescent="0.25">
      <c r="B25" s="46" t="s">
        <v>48</v>
      </c>
      <c r="C25" s="47" t="s">
        <v>49</v>
      </c>
      <c r="D25" s="29"/>
      <c r="E25" s="48">
        <f>+E26+E27</f>
        <v>11763751</v>
      </c>
      <c r="F25" s="49">
        <f t="shared" ref="F25:M25" si="11">SUM(F26:F28)</f>
        <v>11881388.51</v>
      </c>
      <c r="G25" s="49">
        <f t="shared" si="11"/>
        <v>12000202.395099999</v>
      </c>
      <c r="H25" s="49">
        <f t="shared" si="11"/>
        <v>12120204.419050999</v>
      </c>
      <c r="I25" s="49">
        <f t="shared" si="11"/>
        <v>12241406.463241508</v>
      </c>
      <c r="J25" s="49">
        <f t="shared" si="11"/>
        <v>12363820.527873924</v>
      </c>
      <c r="K25" s="49">
        <f t="shared" si="11"/>
        <v>12487458.733152661</v>
      </c>
      <c r="L25" s="49">
        <f t="shared" si="11"/>
        <v>12612333.320484189</v>
      </c>
      <c r="M25" s="49">
        <f t="shared" si="11"/>
        <v>12738456.653689031</v>
      </c>
      <c r="N25" s="49">
        <f t="shared" ref="N25:O25" si="12">SUM(N26:N28)</f>
        <v>12865841.220225921</v>
      </c>
      <c r="O25" s="49">
        <f t="shared" si="12"/>
        <v>12994499.63242818</v>
      </c>
    </row>
    <row r="26" spans="1:15" s="32" customFormat="1" outlineLevel="1" x14ac:dyDescent="0.25">
      <c r="A26" s="32" t="s">
        <v>50</v>
      </c>
      <c r="B26" s="33" t="s">
        <v>51</v>
      </c>
      <c r="C26" s="33" t="s">
        <v>52</v>
      </c>
      <c r="D26" s="29"/>
      <c r="E26" s="30">
        <v>11032</v>
      </c>
      <c r="F26" s="34">
        <f>E26*$F$2</f>
        <v>11142.32</v>
      </c>
      <c r="G26" s="34">
        <f t="shared" ref="G26:O28" si="13">F26*$F$2</f>
        <v>11253.743199999999</v>
      </c>
      <c r="H26" s="34">
        <f t="shared" si="13"/>
        <v>11366.280632</v>
      </c>
      <c r="I26" s="34">
        <f t="shared" si="13"/>
        <v>11479.94343832</v>
      </c>
      <c r="J26" s="34">
        <f t="shared" si="13"/>
        <v>11594.7428727032</v>
      </c>
      <c r="K26" s="34">
        <f t="shared" si="13"/>
        <v>11710.690301430232</v>
      </c>
      <c r="L26" s="34">
        <f t="shared" si="13"/>
        <v>11827.797204444534</v>
      </c>
      <c r="M26" s="34">
        <f t="shared" si="13"/>
        <v>11946.075176488979</v>
      </c>
      <c r="N26" s="34">
        <f t="shared" si="13"/>
        <v>12065.535928253868</v>
      </c>
      <c r="O26" s="34">
        <f t="shared" si="13"/>
        <v>12186.191287536407</v>
      </c>
    </row>
    <row r="27" spans="1:15" s="32" customFormat="1" outlineLevel="1" x14ac:dyDescent="0.25">
      <c r="A27" s="32" t="s">
        <v>53</v>
      </c>
      <c r="B27" s="33" t="s">
        <v>54</v>
      </c>
      <c r="C27" s="33" t="s">
        <v>55</v>
      </c>
      <c r="D27" s="29"/>
      <c r="E27" s="30">
        <v>11752719</v>
      </c>
      <c r="F27" s="34">
        <f>+E27*F2</f>
        <v>11870246.189999999</v>
      </c>
      <c r="G27" s="34">
        <f t="shared" ref="G27:O27" si="14">+F27*G2</f>
        <v>11988948.651899999</v>
      </c>
      <c r="H27" s="34">
        <f t="shared" si="14"/>
        <v>12108838.138418999</v>
      </c>
      <c r="I27" s="34">
        <f t="shared" si="14"/>
        <v>12229926.519803189</v>
      </c>
      <c r="J27" s="34">
        <f t="shared" si="14"/>
        <v>12352225.78500122</v>
      </c>
      <c r="K27" s="34">
        <f t="shared" si="14"/>
        <v>12475748.042851232</v>
      </c>
      <c r="L27" s="34">
        <f t="shared" si="14"/>
        <v>12600505.523279745</v>
      </c>
      <c r="M27" s="34">
        <f t="shared" si="14"/>
        <v>12726510.578512542</v>
      </c>
      <c r="N27" s="34">
        <f t="shared" si="14"/>
        <v>12853775.684297668</v>
      </c>
      <c r="O27" s="34">
        <f t="shared" si="14"/>
        <v>12982313.441140644</v>
      </c>
    </row>
    <row r="28" spans="1:15" s="32" customFormat="1" outlineLevel="1" x14ac:dyDescent="0.25">
      <c r="A28" s="50" t="s">
        <v>56</v>
      </c>
      <c r="B28" s="33" t="s">
        <v>57</v>
      </c>
      <c r="C28" s="33" t="s">
        <v>58</v>
      </c>
      <c r="D28" s="29"/>
      <c r="E28" s="51">
        <f>+D28/10*12</f>
        <v>0</v>
      </c>
      <c r="F28" s="52">
        <f t="shared" ref="F28:K28" si="15">E28*$F$2</f>
        <v>0</v>
      </c>
      <c r="G28" s="52">
        <f t="shared" si="15"/>
        <v>0</v>
      </c>
      <c r="H28" s="52">
        <f t="shared" si="15"/>
        <v>0</v>
      </c>
      <c r="I28" s="52">
        <f t="shared" si="15"/>
        <v>0</v>
      </c>
      <c r="J28" s="52">
        <f t="shared" si="15"/>
        <v>0</v>
      </c>
      <c r="K28" s="52">
        <f t="shared" si="15"/>
        <v>0</v>
      </c>
      <c r="L28" s="52">
        <f t="shared" si="13"/>
        <v>0</v>
      </c>
      <c r="M28" s="52">
        <f t="shared" si="13"/>
        <v>0</v>
      </c>
      <c r="N28" s="52">
        <f t="shared" si="13"/>
        <v>0</v>
      </c>
      <c r="O28" s="52">
        <f t="shared" si="13"/>
        <v>0</v>
      </c>
    </row>
    <row r="29" spans="1:15" s="53" customFormat="1" ht="13" x14ac:dyDescent="0.3">
      <c r="B29" s="54" t="s">
        <v>59</v>
      </c>
      <c r="C29" s="54" t="s">
        <v>60</v>
      </c>
      <c r="D29" s="55"/>
      <c r="E29" s="56">
        <f t="shared" ref="E29:O29" si="16">E23-E25</f>
        <v>16955088.879999999</v>
      </c>
      <c r="F29" s="57">
        <f t="shared" si="16"/>
        <v>18397382.869999997</v>
      </c>
      <c r="G29" s="57">
        <f t="shared" si="16"/>
        <v>18588753.844300002</v>
      </c>
      <c r="H29" s="57">
        <f t="shared" si="16"/>
        <v>18803098.892057002</v>
      </c>
      <c r="I29" s="57">
        <f t="shared" si="16"/>
        <v>18999130.633658528</v>
      </c>
      <c r="J29" s="57">
        <f t="shared" si="16"/>
        <v>19197442.72278332</v>
      </c>
      <c r="K29" s="57">
        <f t="shared" si="16"/>
        <v>19398070.764110874</v>
      </c>
      <c r="L29" s="57">
        <f t="shared" si="16"/>
        <v>19601051.230415702</v>
      </c>
      <c r="M29" s="57">
        <f t="shared" si="16"/>
        <v>19806421.491730124</v>
      </c>
      <c r="N29" s="57">
        <f t="shared" si="16"/>
        <v>20014219.845618099</v>
      </c>
      <c r="O29" s="57">
        <f t="shared" si="16"/>
        <v>20224485.548603784</v>
      </c>
    </row>
    <row r="30" spans="1:15" x14ac:dyDescent="0.25">
      <c r="B30" s="58" t="s">
        <v>61</v>
      </c>
      <c r="C30" s="58" t="s">
        <v>62</v>
      </c>
      <c r="D30" s="59"/>
      <c r="E30" s="60">
        <f t="shared" ref="E30:O30" si="17">E29/E23</f>
        <v>0.590382095894049</v>
      </c>
      <c r="F30" s="61">
        <f t="shared" si="17"/>
        <v>0.60760004556036906</v>
      </c>
      <c r="G30" s="61">
        <f t="shared" si="17"/>
        <v>0.60769493731063706</v>
      </c>
      <c r="H30" s="61">
        <f t="shared" si="17"/>
        <v>0.60805596035086962</v>
      </c>
      <c r="I30" s="61">
        <f t="shared" si="17"/>
        <v>0.60815633786090673</v>
      </c>
      <c r="J30" s="61">
        <f t="shared" si="17"/>
        <v>0.60825964316822922</v>
      </c>
      <c r="K30" s="61">
        <f t="shared" si="17"/>
        <v>0.60836596004390164</v>
      </c>
      <c r="L30" s="61">
        <f t="shared" si="17"/>
        <v>0.60847537455880718</v>
      </c>
      <c r="M30" s="61">
        <f t="shared" si="17"/>
        <v>0.60858797514096608</v>
      </c>
      <c r="N30" s="61">
        <f t="shared" si="17"/>
        <v>0.60870385263392879</v>
      </c>
      <c r="O30" s="61">
        <f t="shared" si="17"/>
        <v>0.60882310035623732</v>
      </c>
    </row>
    <row r="31" spans="1:15" ht="13" x14ac:dyDescent="0.25">
      <c r="B31" s="62" t="s">
        <v>63</v>
      </c>
      <c r="C31" s="62" t="s">
        <v>64</v>
      </c>
      <c r="D31" s="43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x14ac:dyDescent="0.25">
      <c r="B32" s="42" t="s">
        <v>65</v>
      </c>
      <c r="C32" s="42" t="s">
        <v>66</v>
      </c>
      <c r="D32" s="29"/>
      <c r="E32" s="63">
        <f t="shared" ref="E32:O32" si="18">SUM(E33:E36)</f>
        <v>1805883</v>
      </c>
      <c r="F32" s="31">
        <f t="shared" si="18"/>
        <v>1531107.48</v>
      </c>
      <c r="G32" s="31">
        <f t="shared" si="18"/>
        <v>1546418.5548</v>
      </c>
      <c r="H32" s="31">
        <f t="shared" si="18"/>
        <v>1561882.7403480001</v>
      </c>
      <c r="I32" s="31">
        <f t="shared" si="18"/>
        <v>1104461.5677514803</v>
      </c>
      <c r="J32" s="31">
        <f t="shared" si="18"/>
        <v>1115506.1834289948</v>
      </c>
      <c r="K32" s="31">
        <f t="shared" si="18"/>
        <v>1126661.245263285</v>
      </c>
      <c r="L32" s="31">
        <f t="shared" si="18"/>
        <v>1137927.8577159178</v>
      </c>
      <c r="M32" s="31">
        <f t="shared" si="18"/>
        <v>1149307.1362930769</v>
      </c>
      <c r="N32" s="31">
        <f t="shared" si="18"/>
        <v>1160800.2076560077</v>
      </c>
      <c r="O32" s="31">
        <f t="shared" si="18"/>
        <v>1172408.2097325679</v>
      </c>
    </row>
    <row r="33" spans="1:59" s="32" customFormat="1" outlineLevel="1" x14ac:dyDescent="0.25">
      <c r="A33" s="32" t="s">
        <v>67</v>
      </c>
      <c r="B33" s="33" t="s">
        <v>68</v>
      </c>
      <c r="C33" s="33" t="s">
        <v>69</v>
      </c>
      <c r="D33" s="29"/>
      <c r="E33" s="30">
        <v>289935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</row>
    <row r="34" spans="1:59" s="32" customFormat="1" outlineLevel="1" x14ac:dyDescent="0.25">
      <c r="A34" s="32" t="s">
        <v>70</v>
      </c>
      <c r="B34" s="33" t="s">
        <v>71</v>
      </c>
      <c r="C34" s="33" t="s">
        <v>72</v>
      </c>
      <c r="D34" s="29"/>
      <c r="E34" s="30">
        <v>780144</v>
      </c>
      <c r="F34" s="34">
        <f>E34*$E$2</f>
        <v>787945.44000000006</v>
      </c>
      <c r="G34" s="34">
        <f t="shared" ref="G34:H34" si="19">F34*$E$2</f>
        <v>795824.89440000011</v>
      </c>
      <c r="H34" s="34">
        <f t="shared" si="19"/>
        <v>803783.1433440001</v>
      </c>
      <c r="I34" s="34">
        <f>H34*$E$2-473040</f>
        <v>338780.97477744007</v>
      </c>
      <c r="J34" s="34">
        <f>I34*$E$2</f>
        <v>342168.78452521446</v>
      </c>
      <c r="K34" s="34">
        <f t="shared" ref="K34:L34" si="20">J34*$E$2</f>
        <v>345590.47237046662</v>
      </c>
      <c r="L34" s="34">
        <f t="shared" si="20"/>
        <v>349046.3770941713</v>
      </c>
      <c r="M34" s="34">
        <f>L34*$E$2</f>
        <v>352536.84086511302</v>
      </c>
      <c r="N34" s="34">
        <f t="shared" ref="N34:O36" si="21">M34*$E$2</f>
        <v>356062.20927376417</v>
      </c>
      <c r="O34" s="34">
        <f t="shared" si="21"/>
        <v>359622.83136650181</v>
      </c>
    </row>
    <row r="35" spans="1:59" s="32" customFormat="1" outlineLevel="1" x14ac:dyDescent="0.25">
      <c r="A35" s="32" t="s">
        <v>73</v>
      </c>
      <c r="B35" s="33" t="s">
        <v>74</v>
      </c>
      <c r="C35" s="33" t="s">
        <v>75</v>
      </c>
      <c r="D35" s="29"/>
      <c r="E35" s="30">
        <v>150187</v>
      </c>
      <c r="F35" s="34">
        <f t="shared" ref="F35:M36" si="22">E35*$E$2</f>
        <v>151688.87</v>
      </c>
      <c r="G35" s="34">
        <f t="shared" si="22"/>
        <v>153205.75870000001</v>
      </c>
      <c r="H35" s="34">
        <f t="shared" si="22"/>
        <v>154737.81628699999</v>
      </c>
      <c r="I35" s="34">
        <f t="shared" si="22"/>
        <v>156285.19444987</v>
      </c>
      <c r="J35" s="34">
        <f t="shared" si="22"/>
        <v>157848.04639436869</v>
      </c>
      <c r="K35" s="34">
        <f t="shared" si="22"/>
        <v>159426.52685831237</v>
      </c>
      <c r="L35" s="34">
        <f t="shared" si="22"/>
        <v>161020.79212689548</v>
      </c>
      <c r="M35" s="34">
        <f t="shared" si="22"/>
        <v>162631.00004816442</v>
      </c>
      <c r="N35" s="34">
        <f t="shared" si="21"/>
        <v>164257.31004864606</v>
      </c>
      <c r="O35" s="34">
        <f t="shared" si="21"/>
        <v>165899.88314913251</v>
      </c>
    </row>
    <row r="36" spans="1:59" s="32" customFormat="1" outlineLevel="1" x14ac:dyDescent="0.25">
      <c r="A36" s="32" t="s">
        <v>76</v>
      </c>
      <c r="B36" s="33" t="s">
        <v>77</v>
      </c>
      <c r="C36" s="33" t="s">
        <v>78</v>
      </c>
      <c r="D36" s="29"/>
      <c r="E36" s="30">
        <v>585617</v>
      </c>
      <c r="F36" s="34">
        <f t="shared" si="22"/>
        <v>591473.17000000004</v>
      </c>
      <c r="G36" s="34">
        <f t="shared" si="22"/>
        <v>597387.90170000005</v>
      </c>
      <c r="H36" s="34">
        <f t="shared" si="22"/>
        <v>603361.78071700002</v>
      </c>
      <c r="I36" s="34">
        <f t="shared" si="22"/>
        <v>609395.39852417004</v>
      </c>
      <c r="J36" s="34">
        <f t="shared" si="22"/>
        <v>615489.35250941175</v>
      </c>
      <c r="K36" s="34">
        <f t="shared" si="22"/>
        <v>621644.24603450589</v>
      </c>
      <c r="L36" s="34">
        <f t="shared" si="22"/>
        <v>627860.688494851</v>
      </c>
      <c r="M36" s="34">
        <f t="shared" si="22"/>
        <v>634139.29537979956</v>
      </c>
      <c r="N36" s="34">
        <f t="shared" si="21"/>
        <v>640480.68833359762</v>
      </c>
      <c r="O36" s="34">
        <f t="shared" si="21"/>
        <v>646885.49521693354</v>
      </c>
    </row>
    <row r="37" spans="1:59" x14ac:dyDescent="0.25">
      <c r="B37" s="64" t="s">
        <v>79</v>
      </c>
      <c r="C37" s="64" t="s">
        <v>80</v>
      </c>
      <c r="D37" s="29"/>
      <c r="E37" s="63">
        <f t="shared" ref="E37:O37" si="23">SUM(E38:E44)</f>
        <v>1696342</v>
      </c>
      <c r="F37" s="31">
        <f t="shared" si="23"/>
        <v>1361488.55</v>
      </c>
      <c r="G37" s="31">
        <f t="shared" si="23"/>
        <v>1872675.2055000002</v>
      </c>
      <c r="H37" s="31">
        <f t="shared" si="23"/>
        <v>1888973.7275550002</v>
      </c>
      <c r="I37" s="31">
        <f t="shared" si="23"/>
        <v>1906188.7748305502</v>
      </c>
      <c r="J37" s="31">
        <f t="shared" si="23"/>
        <v>1923575.9725788557</v>
      </c>
      <c r="K37" s="31">
        <f t="shared" si="23"/>
        <v>1441137.0423046441</v>
      </c>
      <c r="L37" s="31">
        <f t="shared" si="23"/>
        <v>1953873.7227276904</v>
      </c>
      <c r="M37" s="31">
        <f t="shared" si="23"/>
        <v>1973412.4599549675</v>
      </c>
      <c r="N37" s="31">
        <f t="shared" si="23"/>
        <v>1993146.5845545169</v>
      </c>
      <c r="O37" s="31">
        <f t="shared" si="23"/>
        <v>2013078.0504000625</v>
      </c>
    </row>
    <row r="38" spans="1:59" s="32" customFormat="1" outlineLevel="1" x14ac:dyDescent="0.25">
      <c r="A38" s="32" t="s">
        <v>81</v>
      </c>
      <c r="B38" s="33" t="s">
        <v>82</v>
      </c>
      <c r="C38" s="33" t="s">
        <v>83</v>
      </c>
      <c r="D38" s="29"/>
      <c r="E38" s="30">
        <v>7090</v>
      </c>
      <c r="F38" s="34">
        <f t="shared" ref="F38:O44" si="24">E38*$E$2</f>
        <v>7160.9</v>
      </c>
      <c r="G38" s="34">
        <f t="shared" si="24"/>
        <v>7232.509</v>
      </c>
      <c r="H38" s="34">
        <f t="shared" si="24"/>
        <v>7304.8340900000003</v>
      </c>
      <c r="I38" s="34">
        <f t="shared" si="24"/>
        <v>7377.8824309000001</v>
      </c>
      <c r="J38" s="34">
        <f t="shared" si="24"/>
        <v>7451.661255209</v>
      </c>
      <c r="K38" s="34">
        <f t="shared" si="24"/>
        <v>7526.1778677610901</v>
      </c>
      <c r="L38" s="34">
        <f t="shared" si="24"/>
        <v>7601.4396464387009</v>
      </c>
      <c r="M38" s="34">
        <f t="shared" si="24"/>
        <v>7677.4540429030876</v>
      </c>
      <c r="N38" s="34">
        <f t="shared" si="24"/>
        <v>7754.2285833321184</v>
      </c>
      <c r="O38" s="34">
        <f t="shared" si="24"/>
        <v>7831.7708691654398</v>
      </c>
    </row>
    <row r="39" spans="1:59" s="32" customFormat="1" outlineLevel="1" x14ac:dyDescent="0.25">
      <c r="A39" s="32" t="s">
        <v>84</v>
      </c>
      <c r="B39" s="65" t="s">
        <v>85</v>
      </c>
      <c r="C39" s="65" t="s">
        <v>86</v>
      </c>
      <c r="D39" s="29"/>
      <c r="E39" s="30">
        <v>75354</v>
      </c>
      <c r="F39" s="34">
        <f>E39</f>
        <v>75354</v>
      </c>
      <c r="G39" s="34">
        <f>F39</f>
        <v>75354</v>
      </c>
      <c r="H39" s="34">
        <f t="shared" ref="H39" si="25">G39</f>
        <v>75354</v>
      </c>
      <c r="I39" s="34">
        <f t="shared" si="24"/>
        <v>76107.539999999994</v>
      </c>
      <c r="J39" s="34">
        <f t="shared" si="24"/>
        <v>76868.615399999995</v>
      </c>
      <c r="K39" s="34">
        <f t="shared" si="24"/>
        <v>77637.301553999991</v>
      </c>
      <c r="L39" s="34">
        <f t="shared" si="24"/>
        <v>78413.674569539988</v>
      </c>
      <c r="M39" s="34">
        <f t="shared" si="24"/>
        <v>79197.811315235391</v>
      </c>
      <c r="N39" s="34">
        <f t="shared" si="24"/>
        <v>79989.789428387739</v>
      </c>
      <c r="O39" s="34">
        <f t="shared" si="24"/>
        <v>80789.687322671612</v>
      </c>
    </row>
    <row r="40" spans="1:59" s="32" customFormat="1" outlineLevel="1" x14ac:dyDescent="0.25">
      <c r="A40" s="32" t="s">
        <v>87</v>
      </c>
      <c r="B40" s="33" t="s">
        <v>88</v>
      </c>
      <c r="C40" s="33" t="s">
        <v>89</v>
      </c>
      <c r="D40" s="29"/>
      <c r="E40" s="30">
        <v>377909</v>
      </c>
      <c r="F40" s="34">
        <v>300000</v>
      </c>
      <c r="G40" s="34">
        <f t="shared" ref="G40:I40" si="26">F40*$E$2</f>
        <v>303000</v>
      </c>
      <c r="H40" s="34">
        <f t="shared" si="26"/>
        <v>306030</v>
      </c>
      <c r="I40" s="34">
        <f t="shared" si="26"/>
        <v>309090.3</v>
      </c>
      <c r="J40" s="34">
        <f t="shared" si="24"/>
        <v>312181.20299999998</v>
      </c>
      <c r="K40" s="34">
        <f t="shared" si="24"/>
        <v>315303.01503000001</v>
      </c>
      <c r="L40" s="34">
        <f t="shared" si="24"/>
        <v>318456.04518030002</v>
      </c>
      <c r="M40" s="34">
        <f t="shared" si="24"/>
        <v>321640.60563210305</v>
      </c>
      <c r="N40" s="34">
        <f t="shared" si="24"/>
        <v>324857.0116884241</v>
      </c>
      <c r="O40" s="34">
        <f t="shared" si="24"/>
        <v>328105.58180530835</v>
      </c>
    </row>
    <row r="41" spans="1:59" s="32" customFormat="1" outlineLevel="1" x14ac:dyDescent="0.25">
      <c r="A41" s="32" t="s">
        <v>90</v>
      </c>
      <c r="B41" s="33" t="s">
        <v>91</v>
      </c>
      <c r="C41" s="33" t="s">
        <v>92</v>
      </c>
      <c r="D41" s="29"/>
      <c r="E41" s="30">
        <v>67469</v>
      </c>
      <c r="F41" s="34">
        <f t="shared" ref="F41:K41" si="27">E41</f>
        <v>67469</v>
      </c>
      <c r="G41" s="34">
        <f t="shared" si="27"/>
        <v>67469</v>
      </c>
      <c r="H41" s="34">
        <f t="shared" si="27"/>
        <v>67469</v>
      </c>
      <c r="I41" s="34">
        <f t="shared" si="27"/>
        <v>67469</v>
      </c>
      <c r="J41" s="34">
        <f t="shared" si="27"/>
        <v>67469</v>
      </c>
      <c r="K41" s="34">
        <f t="shared" si="27"/>
        <v>67469</v>
      </c>
      <c r="L41" s="34">
        <f>K41</f>
        <v>67469</v>
      </c>
      <c r="M41" s="34">
        <f t="shared" si="24"/>
        <v>68143.69</v>
      </c>
      <c r="N41" s="34">
        <f t="shared" si="24"/>
        <v>68825.126900000003</v>
      </c>
      <c r="O41" s="34">
        <f t="shared" si="24"/>
        <v>69513.378169000003</v>
      </c>
    </row>
    <row r="42" spans="1:59" s="32" customFormat="1" outlineLevel="1" x14ac:dyDescent="0.25">
      <c r="A42" s="32" t="s">
        <v>93</v>
      </c>
      <c r="B42" s="33" t="s">
        <v>94</v>
      </c>
      <c r="C42" s="33" t="s">
        <v>95</v>
      </c>
      <c r="D42" s="29"/>
      <c r="E42" s="30">
        <v>753965</v>
      </c>
      <c r="F42" s="34">
        <f t="shared" ref="F42:M44" si="28">E42*$E$2</f>
        <v>761504.65</v>
      </c>
      <c r="G42" s="34">
        <f>F42*$E$2+500000</f>
        <v>1269119.6965000001</v>
      </c>
      <c r="H42" s="34">
        <f>G42*$E$2</f>
        <v>1281810.8934650002</v>
      </c>
      <c r="I42" s="34">
        <f>H42*$E$2</f>
        <v>1294629.0023996502</v>
      </c>
      <c r="J42" s="34">
        <f t="shared" ref="J42:O42" si="29">I42*$E$2</f>
        <v>1307575.2924236467</v>
      </c>
      <c r="K42" s="34">
        <f>J42*$E$2-500000</f>
        <v>820651.04534788313</v>
      </c>
      <c r="L42" s="34">
        <f>K42*$E$2+500000</f>
        <v>1328857.5558013618</v>
      </c>
      <c r="M42" s="34">
        <f t="shared" si="29"/>
        <v>1342146.1313593753</v>
      </c>
      <c r="N42" s="34">
        <f t="shared" si="29"/>
        <v>1355567.592672969</v>
      </c>
      <c r="O42" s="34">
        <f t="shared" si="29"/>
        <v>1369123.2685996988</v>
      </c>
    </row>
    <row r="43" spans="1:59" s="32" customFormat="1" outlineLevel="1" x14ac:dyDescent="0.25">
      <c r="A43" s="32" t="s">
        <v>96</v>
      </c>
      <c r="B43" s="65" t="s">
        <v>97</v>
      </c>
      <c r="C43" s="65" t="s">
        <v>98</v>
      </c>
      <c r="D43" s="29"/>
      <c r="E43" s="30">
        <v>260948</v>
      </c>
      <c r="F43" s="34">
        <v>50000</v>
      </c>
      <c r="G43" s="34">
        <f t="shared" si="28"/>
        <v>50500</v>
      </c>
      <c r="H43" s="34">
        <f t="shared" si="28"/>
        <v>51005</v>
      </c>
      <c r="I43" s="34">
        <f t="shared" si="28"/>
        <v>51515.05</v>
      </c>
      <c r="J43" s="34">
        <f t="shared" si="28"/>
        <v>52030.200500000006</v>
      </c>
      <c r="K43" s="34">
        <f t="shared" si="28"/>
        <v>52550.502505000004</v>
      </c>
      <c r="L43" s="34">
        <f t="shared" si="28"/>
        <v>53076.007530050003</v>
      </c>
      <c r="M43" s="34">
        <f t="shared" si="28"/>
        <v>53606.767605350506</v>
      </c>
      <c r="N43" s="34">
        <f t="shared" si="24"/>
        <v>54142.835281404012</v>
      </c>
      <c r="O43" s="34">
        <f t="shared" si="24"/>
        <v>54684.263634218056</v>
      </c>
    </row>
    <row r="44" spans="1:59" s="32" customFormat="1" outlineLevel="1" x14ac:dyDescent="0.25">
      <c r="A44" s="32" t="s">
        <v>99</v>
      </c>
      <c r="B44" s="33" t="s">
        <v>100</v>
      </c>
      <c r="C44" s="33" t="s">
        <v>101</v>
      </c>
      <c r="D44" s="29"/>
      <c r="E44" s="30">
        <v>153607</v>
      </c>
      <c r="F44" s="34">
        <v>100000</v>
      </c>
      <c r="G44" s="34">
        <f t="shared" ref="G44:L44" si="30">F44</f>
        <v>100000</v>
      </c>
      <c r="H44" s="34">
        <f t="shared" si="30"/>
        <v>100000</v>
      </c>
      <c r="I44" s="34">
        <f t="shared" si="30"/>
        <v>100000</v>
      </c>
      <c r="J44" s="34">
        <f t="shared" si="30"/>
        <v>100000</v>
      </c>
      <c r="K44" s="34">
        <f>J44</f>
        <v>100000</v>
      </c>
      <c r="L44" s="34">
        <f t="shared" si="30"/>
        <v>100000</v>
      </c>
      <c r="M44" s="34">
        <f t="shared" si="28"/>
        <v>101000</v>
      </c>
      <c r="N44" s="34">
        <f t="shared" si="24"/>
        <v>102010</v>
      </c>
      <c r="O44" s="34">
        <f t="shared" si="24"/>
        <v>103030.1</v>
      </c>
    </row>
    <row r="45" spans="1:59" x14ac:dyDescent="0.25">
      <c r="B45" s="64" t="s">
        <v>102</v>
      </c>
      <c r="C45" s="64" t="s">
        <v>103</v>
      </c>
      <c r="D45" s="29"/>
      <c r="E45" s="63">
        <f t="shared" ref="E45:O45" si="31">SUM(E46:E47)</f>
        <v>5625023</v>
      </c>
      <c r="F45" s="31">
        <f t="shared" si="31"/>
        <v>5673770.6100000003</v>
      </c>
      <c r="G45" s="31">
        <f t="shared" si="31"/>
        <v>5745389.4630499994</v>
      </c>
      <c r="H45" s="31">
        <f t="shared" si="31"/>
        <v>5767116.410365249</v>
      </c>
      <c r="I45" s="31">
        <f t="shared" si="31"/>
        <v>5788951.9924170747</v>
      </c>
      <c r="J45" s="31">
        <f t="shared" si="31"/>
        <v>5810896.7523791594</v>
      </c>
      <c r="K45" s="31">
        <f t="shared" si="31"/>
        <v>5832951.2361410549</v>
      </c>
      <c r="L45" s="31">
        <f t="shared" si="31"/>
        <v>5855115.9923217595</v>
      </c>
      <c r="M45" s="31">
        <f t="shared" si="31"/>
        <v>5877391.5722833676</v>
      </c>
      <c r="N45" s="31">
        <f t="shared" si="31"/>
        <v>5899778.5301447837</v>
      </c>
      <c r="O45" s="31">
        <f t="shared" si="31"/>
        <v>5922277.4227955071</v>
      </c>
    </row>
    <row r="46" spans="1:59" s="32" customFormat="1" outlineLevel="1" x14ac:dyDescent="0.25">
      <c r="A46" s="32" t="s">
        <v>104</v>
      </c>
      <c r="B46" s="33" t="s">
        <v>105</v>
      </c>
      <c r="C46" s="33" t="s">
        <v>106</v>
      </c>
      <c r="D46" s="29"/>
      <c r="E46" s="30">
        <v>4280961</v>
      </c>
      <c r="F46" s="34">
        <f t="shared" ref="F46" si="32">E46*$E$2</f>
        <v>4323770.6100000003</v>
      </c>
      <c r="G46" s="34">
        <f>+F46*1.005</f>
        <v>4345389.4630499994</v>
      </c>
      <c r="H46" s="34">
        <f t="shared" ref="H46:O46" si="33">+G46*1.005</f>
        <v>4367116.410365249</v>
      </c>
      <c r="I46" s="34">
        <f t="shared" si="33"/>
        <v>4388951.9924170747</v>
      </c>
      <c r="J46" s="34">
        <f t="shared" si="33"/>
        <v>4410896.7523791594</v>
      </c>
      <c r="K46" s="34">
        <f t="shared" si="33"/>
        <v>4432951.2361410549</v>
      </c>
      <c r="L46" s="34">
        <f t="shared" si="33"/>
        <v>4455115.9923217595</v>
      </c>
      <c r="M46" s="34">
        <f t="shared" si="33"/>
        <v>4477391.5722833676</v>
      </c>
      <c r="N46" s="34">
        <f t="shared" si="33"/>
        <v>4499778.5301447837</v>
      </c>
      <c r="O46" s="34">
        <f t="shared" si="33"/>
        <v>4522277.4227955071</v>
      </c>
    </row>
    <row r="47" spans="1:59" s="32" customFormat="1" outlineLevel="1" x14ac:dyDescent="0.25">
      <c r="A47" s="32" t="s">
        <v>107</v>
      </c>
      <c r="B47" s="33" t="s">
        <v>108</v>
      </c>
      <c r="C47" s="33" t="s">
        <v>109</v>
      </c>
      <c r="D47" s="29"/>
      <c r="E47" s="30">
        <v>1344062</v>
      </c>
      <c r="F47" s="34">
        <v>1350000</v>
      </c>
      <c r="G47" s="34">
        <v>1400000</v>
      </c>
      <c r="H47" s="34">
        <v>1400000</v>
      </c>
      <c r="I47" s="34">
        <v>1400000</v>
      </c>
      <c r="J47" s="34">
        <v>1400000</v>
      </c>
      <c r="K47" s="34">
        <v>1400000</v>
      </c>
      <c r="L47" s="34">
        <v>1400000</v>
      </c>
      <c r="M47" s="34">
        <v>1400000</v>
      </c>
      <c r="N47" s="34">
        <v>1400000</v>
      </c>
      <c r="O47" s="34">
        <v>1400000</v>
      </c>
    </row>
    <row r="48" spans="1:59" x14ac:dyDescent="0.25">
      <c r="B48" s="42" t="s">
        <v>110</v>
      </c>
      <c r="C48" s="42" t="s">
        <v>111</v>
      </c>
      <c r="D48" s="29"/>
      <c r="E48" s="37">
        <f>SUM(E49:E54)</f>
        <v>2333353</v>
      </c>
      <c r="F48" s="31">
        <f t="shared" ref="F48:O48" si="34">SUM(F49:F54)</f>
        <v>2408995.7599999998</v>
      </c>
      <c r="G48" s="31">
        <f t="shared" si="34"/>
        <v>2433085.7176000001</v>
      </c>
      <c r="H48" s="31">
        <f t="shared" si="34"/>
        <v>2457416.5747760003</v>
      </c>
      <c r="I48" s="31">
        <f t="shared" si="34"/>
        <v>2481990.7405237607</v>
      </c>
      <c r="J48" s="31">
        <f t="shared" si="34"/>
        <v>2506810.6479289974</v>
      </c>
      <c r="K48" s="31">
        <f t="shared" si="34"/>
        <v>2531878.7544082883</v>
      </c>
      <c r="L48" s="31">
        <f t="shared" si="34"/>
        <v>2557197.5419523711</v>
      </c>
      <c r="M48" s="31">
        <f t="shared" si="34"/>
        <v>2582769.5173718943</v>
      </c>
      <c r="N48" s="31">
        <f t="shared" si="34"/>
        <v>2608597.2125456138</v>
      </c>
      <c r="O48" s="31">
        <f t="shared" si="34"/>
        <v>2634683.1846710695</v>
      </c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7"/>
    </row>
    <row r="49" spans="1:59" s="32" customFormat="1" outlineLevel="1" x14ac:dyDescent="0.25">
      <c r="A49" s="32" t="s">
        <v>112</v>
      </c>
      <c r="B49" s="33" t="s">
        <v>113</v>
      </c>
      <c r="C49" s="33" t="s">
        <v>114</v>
      </c>
      <c r="D49" s="29"/>
      <c r="E49" s="30">
        <v>183746</v>
      </c>
      <c r="F49" s="34">
        <f t="shared" ref="F49:O54" si="35">E49*$E$2</f>
        <v>185583.46</v>
      </c>
      <c r="G49" s="34">
        <f t="shared" si="35"/>
        <v>187439.29459999999</v>
      </c>
      <c r="H49" s="34">
        <f t="shared" si="35"/>
        <v>189313.687546</v>
      </c>
      <c r="I49" s="34">
        <f t="shared" si="35"/>
        <v>191206.82442146001</v>
      </c>
      <c r="J49" s="34">
        <f t="shared" si="35"/>
        <v>193118.89266567462</v>
      </c>
      <c r="K49" s="34">
        <f t="shared" si="35"/>
        <v>195050.08159233138</v>
      </c>
      <c r="L49" s="34">
        <f t="shared" si="35"/>
        <v>197000.5824082547</v>
      </c>
      <c r="M49" s="34">
        <f t="shared" si="35"/>
        <v>198970.58823233726</v>
      </c>
      <c r="N49" s="34">
        <f t="shared" si="35"/>
        <v>200960.29411466065</v>
      </c>
      <c r="O49" s="34">
        <f t="shared" si="35"/>
        <v>202969.89705580726</v>
      </c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9"/>
    </row>
    <row r="50" spans="1:59" s="32" customFormat="1" outlineLevel="1" x14ac:dyDescent="0.25">
      <c r="A50" s="32" t="s">
        <v>115</v>
      </c>
      <c r="B50" s="33" t="s">
        <v>116</v>
      </c>
      <c r="C50" s="33" t="s">
        <v>117</v>
      </c>
      <c r="D50" s="29"/>
      <c r="E50" s="30">
        <v>122382</v>
      </c>
      <c r="F50" s="34">
        <f t="shared" si="35"/>
        <v>123605.82</v>
      </c>
      <c r="G50" s="34">
        <f t="shared" si="35"/>
        <v>124841.87820000001</v>
      </c>
      <c r="H50" s="34">
        <f t="shared" si="35"/>
        <v>126090.29698200001</v>
      </c>
      <c r="I50" s="34">
        <f t="shared" si="35"/>
        <v>127351.19995182002</v>
      </c>
      <c r="J50" s="34">
        <f t="shared" si="35"/>
        <v>128624.71195133822</v>
      </c>
      <c r="K50" s="34">
        <f t="shared" si="35"/>
        <v>129910.9590708516</v>
      </c>
      <c r="L50" s="34">
        <f t="shared" si="35"/>
        <v>131210.06866156013</v>
      </c>
      <c r="M50" s="34">
        <f t="shared" si="35"/>
        <v>132522.16934817572</v>
      </c>
      <c r="N50" s="34">
        <f t="shared" si="35"/>
        <v>133847.39104165748</v>
      </c>
      <c r="O50" s="34">
        <f t="shared" si="35"/>
        <v>135185.86495207404</v>
      </c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9"/>
    </row>
    <row r="51" spans="1:59" s="32" customFormat="1" outlineLevel="1" x14ac:dyDescent="0.25">
      <c r="A51" s="32" t="s">
        <v>118</v>
      </c>
      <c r="B51" s="33" t="s">
        <v>119</v>
      </c>
      <c r="C51" s="33" t="s">
        <v>120</v>
      </c>
      <c r="D51" s="29"/>
      <c r="E51" s="30">
        <v>1743641</v>
      </c>
      <c r="F51" s="34">
        <f>+E51*F1</f>
        <v>1813386.6400000001</v>
      </c>
      <c r="G51" s="34">
        <f t="shared" ref="G51:O51" si="36">+F51*G1</f>
        <v>1831520.5064000001</v>
      </c>
      <c r="H51" s="34">
        <f t="shared" si="36"/>
        <v>1849835.7114640002</v>
      </c>
      <c r="I51" s="34">
        <f t="shared" si="36"/>
        <v>1868334.0685786402</v>
      </c>
      <c r="J51" s="34">
        <f t="shared" si="36"/>
        <v>1887017.4092644267</v>
      </c>
      <c r="K51" s="34">
        <f t="shared" si="36"/>
        <v>1905887.583357071</v>
      </c>
      <c r="L51" s="34">
        <f t="shared" si="36"/>
        <v>1924946.4591906418</v>
      </c>
      <c r="M51" s="34">
        <f t="shared" si="36"/>
        <v>1944195.9237825482</v>
      </c>
      <c r="N51" s="34">
        <f t="shared" si="36"/>
        <v>1963637.8830203738</v>
      </c>
      <c r="O51" s="34">
        <f t="shared" si="36"/>
        <v>1983274.2618505775</v>
      </c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9"/>
    </row>
    <row r="52" spans="1:59" s="32" customFormat="1" outlineLevel="1" x14ac:dyDescent="0.25">
      <c r="A52" s="32" t="s">
        <v>121</v>
      </c>
      <c r="B52" s="33" t="s">
        <v>122</v>
      </c>
      <c r="C52" s="33" t="s">
        <v>123</v>
      </c>
      <c r="D52" s="29"/>
      <c r="E52" s="30">
        <v>43407</v>
      </c>
      <c r="F52" s="34">
        <f t="shared" si="35"/>
        <v>43841.07</v>
      </c>
      <c r="G52" s="34">
        <f t="shared" si="35"/>
        <v>44279.4807</v>
      </c>
      <c r="H52" s="34">
        <f t="shared" si="35"/>
        <v>44722.275506999998</v>
      </c>
      <c r="I52" s="34">
        <f t="shared" si="35"/>
        <v>45169.498262069996</v>
      </c>
      <c r="J52" s="34">
        <f t="shared" si="35"/>
        <v>45621.193244690694</v>
      </c>
      <c r="K52" s="34">
        <f t="shared" si="35"/>
        <v>46077.405177137603</v>
      </c>
      <c r="L52" s="34">
        <f t="shared" si="35"/>
        <v>46538.179228908979</v>
      </c>
      <c r="M52" s="34">
        <f t="shared" si="35"/>
        <v>47003.561021198067</v>
      </c>
      <c r="N52" s="34">
        <f t="shared" si="35"/>
        <v>47473.596631410051</v>
      </c>
      <c r="O52" s="34">
        <f t="shared" si="35"/>
        <v>47948.332597724155</v>
      </c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9"/>
    </row>
    <row r="53" spans="1:59" s="32" customFormat="1" outlineLevel="1" x14ac:dyDescent="0.25">
      <c r="A53" s="32" t="s">
        <v>124</v>
      </c>
      <c r="B53" s="33" t="s">
        <v>125</v>
      </c>
      <c r="C53" s="33" t="s">
        <v>126</v>
      </c>
      <c r="D53" s="29"/>
      <c r="E53" s="30">
        <v>86490</v>
      </c>
      <c r="F53" s="34">
        <f t="shared" si="35"/>
        <v>87354.9</v>
      </c>
      <c r="G53" s="34">
        <f t="shared" si="35"/>
        <v>88228.448999999993</v>
      </c>
      <c r="H53" s="34">
        <f t="shared" si="35"/>
        <v>89110.733489999999</v>
      </c>
      <c r="I53" s="34">
        <f t="shared" si="35"/>
        <v>90001.840824900006</v>
      </c>
      <c r="J53" s="34">
        <f t="shared" si="35"/>
        <v>90901.859233149007</v>
      </c>
      <c r="K53" s="34">
        <f t="shared" si="35"/>
        <v>91810.877825480493</v>
      </c>
      <c r="L53" s="34">
        <f t="shared" si="35"/>
        <v>92728.986603735306</v>
      </c>
      <c r="M53" s="34">
        <f t="shared" si="35"/>
        <v>93656.276469772652</v>
      </c>
      <c r="N53" s="34">
        <f t="shared" si="35"/>
        <v>94592.839234470375</v>
      </c>
      <c r="O53" s="34">
        <f t="shared" si="35"/>
        <v>95538.767626815083</v>
      </c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9"/>
    </row>
    <row r="54" spans="1:59" s="32" customFormat="1" outlineLevel="1" x14ac:dyDescent="0.25">
      <c r="A54" s="32" t="s">
        <v>127</v>
      </c>
      <c r="B54" s="33" t="s">
        <v>128</v>
      </c>
      <c r="C54" s="33" t="s">
        <v>129</v>
      </c>
      <c r="D54" s="29"/>
      <c r="E54" s="30">
        <v>153687</v>
      </c>
      <c r="F54" s="34">
        <f t="shared" si="35"/>
        <v>155223.87</v>
      </c>
      <c r="G54" s="34">
        <f t="shared" si="35"/>
        <v>156776.10869999998</v>
      </c>
      <c r="H54" s="34">
        <f t="shared" si="35"/>
        <v>158343.86978699997</v>
      </c>
      <c r="I54" s="34">
        <f t="shared" si="35"/>
        <v>159927.30848486998</v>
      </c>
      <c r="J54" s="34">
        <f t="shared" si="35"/>
        <v>161526.58156971869</v>
      </c>
      <c r="K54" s="34">
        <f t="shared" si="35"/>
        <v>163141.84738541587</v>
      </c>
      <c r="L54" s="34">
        <f t="shared" si="35"/>
        <v>164773.26585927003</v>
      </c>
      <c r="M54" s="34">
        <f t="shared" si="35"/>
        <v>166420.99851786272</v>
      </c>
      <c r="N54" s="34">
        <f t="shared" si="35"/>
        <v>168085.20850304136</v>
      </c>
      <c r="O54" s="34">
        <f t="shared" si="35"/>
        <v>169766.06058807176</v>
      </c>
    </row>
    <row r="55" spans="1:59" ht="13" x14ac:dyDescent="0.3">
      <c r="B55" s="70" t="s">
        <v>130</v>
      </c>
      <c r="C55" s="70" t="s">
        <v>131</v>
      </c>
      <c r="D55" s="55"/>
      <c r="E55" s="71">
        <f>E32+E37+E45+E48</f>
        <v>11460601</v>
      </c>
      <c r="F55" s="72">
        <f t="shared" ref="F55:O55" si="37">F32+F37+F45+F48</f>
        <v>10975362.4</v>
      </c>
      <c r="G55" s="72">
        <f t="shared" si="37"/>
        <v>11597568.940949999</v>
      </c>
      <c r="H55" s="72">
        <f t="shared" si="37"/>
        <v>11675389.453044251</v>
      </c>
      <c r="I55" s="72">
        <f t="shared" si="37"/>
        <v>11281593.075522866</v>
      </c>
      <c r="J55" s="72">
        <f t="shared" si="37"/>
        <v>11356789.556316007</v>
      </c>
      <c r="K55" s="72">
        <f t="shared" si="37"/>
        <v>10932628.278117273</v>
      </c>
      <c r="L55" s="72">
        <f t="shared" si="37"/>
        <v>11504115.114717739</v>
      </c>
      <c r="M55" s="72">
        <f t="shared" si="37"/>
        <v>11582880.685903307</v>
      </c>
      <c r="N55" s="72">
        <f t="shared" si="37"/>
        <v>11662322.534900922</v>
      </c>
      <c r="O55" s="72">
        <f t="shared" si="37"/>
        <v>11742446.867599208</v>
      </c>
    </row>
    <row r="56" spans="1:59" ht="3" customHeight="1" x14ac:dyDescent="0.3">
      <c r="B56" s="73"/>
      <c r="C56" s="73"/>
      <c r="D56" s="11"/>
      <c r="E56" s="74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1:59" ht="13" x14ac:dyDescent="0.3">
      <c r="B57" s="76" t="s">
        <v>132</v>
      </c>
      <c r="C57" s="76" t="s">
        <v>132</v>
      </c>
      <c r="D57" s="77"/>
      <c r="E57" s="78">
        <f>E29-E55</f>
        <v>5494487.879999999</v>
      </c>
      <c r="F57" s="79">
        <f t="shared" ref="F57:O57" si="38">F29-F55</f>
        <v>7422020.4699999969</v>
      </c>
      <c r="G57" s="79">
        <f t="shared" si="38"/>
        <v>6991184.9033500031</v>
      </c>
      <c r="H57" s="79">
        <f t="shared" si="38"/>
        <v>7127709.439012751</v>
      </c>
      <c r="I57" s="79">
        <f t="shared" si="38"/>
        <v>7717537.5581356622</v>
      </c>
      <c r="J57" s="79">
        <f t="shared" si="38"/>
        <v>7840653.1664673127</v>
      </c>
      <c r="K57" s="79">
        <f t="shared" si="38"/>
        <v>8465442.4859936014</v>
      </c>
      <c r="L57" s="79">
        <f t="shared" si="38"/>
        <v>8096936.1156979632</v>
      </c>
      <c r="M57" s="79">
        <f t="shared" si="38"/>
        <v>8223540.8058268167</v>
      </c>
      <c r="N57" s="79">
        <f t="shared" si="38"/>
        <v>8351897.3107171766</v>
      </c>
      <c r="O57" s="79">
        <f t="shared" si="38"/>
        <v>8482038.6810045764</v>
      </c>
      <c r="P57" s="80" t="s">
        <v>8</v>
      </c>
      <c r="Q57" s="80" t="s">
        <v>8</v>
      </c>
      <c r="R57" s="80" t="s">
        <v>8</v>
      </c>
      <c r="S57" s="80">
        <f t="shared" ref="S57" si="39">J57/I57</f>
        <v>1.0159527060806934</v>
      </c>
      <c r="T57" s="80"/>
      <c r="U57" s="80"/>
      <c r="V57" s="80"/>
      <c r="W57" s="80"/>
    </row>
    <row r="58" spans="1:59" x14ac:dyDescent="0.25">
      <c r="B58" s="19" t="s">
        <v>133</v>
      </c>
      <c r="C58" s="19" t="s">
        <v>133</v>
      </c>
      <c r="D58" s="20"/>
      <c r="E58" s="21">
        <f t="shared" ref="E58:O58" si="40">E57/E23</f>
        <v>0.19131998029719852</v>
      </c>
      <c r="F58" s="22">
        <f t="shared" si="40"/>
        <v>0.24512290729545438</v>
      </c>
      <c r="G58" s="22">
        <f t="shared" si="40"/>
        <v>0.2285525811549278</v>
      </c>
      <c r="H58" s="22">
        <f t="shared" si="40"/>
        <v>0.2304963789703669</v>
      </c>
      <c r="I58" s="22">
        <f t="shared" si="40"/>
        <v>0.24703600754999389</v>
      </c>
      <c r="J58" s="22">
        <f t="shared" si="40"/>
        <v>0.24842646836400112</v>
      </c>
      <c r="K58" s="22">
        <f t="shared" si="40"/>
        <v>0.26549480656170749</v>
      </c>
      <c r="L58" s="22">
        <f t="shared" si="40"/>
        <v>0.2513531635554816</v>
      </c>
      <c r="M58" s="22">
        <f t="shared" si="40"/>
        <v>0.25268310328531124</v>
      </c>
      <c r="N58" s="22">
        <f t="shared" si="40"/>
        <v>0.2540110036289796</v>
      </c>
      <c r="O58" s="22">
        <f t="shared" si="40"/>
        <v>0.25533708012994388</v>
      </c>
    </row>
    <row r="59" spans="1:59" x14ac:dyDescent="0.25">
      <c r="A59" s="36" t="s">
        <v>134</v>
      </c>
      <c r="B59" s="81" t="s">
        <v>135</v>
      </c>
      <c r="C59" s="81" t="s">
        <v>136</v>
      </c>
      <c r="D59" s="29"/>
      <c r="E59" s="82">
        <v>2452852</v>
      </c>
      <c r="F59" s="31">
        <f>+'[1]STALNA SREDSTVA'!C36</f>
        <v>2135274.5</v>
      </c>
      <c r="G59" s="31">
        <f>+'[1]STALNA SREDSTVA'!D36</f>
        <v>2050356.7039999999</v>
      </c>
      <c r="H59" s="31">
        <f>+'[1]STALNA SREDSTVA'!E36</f>
        <v>2780907.9040000001</v>
      </c>
      <c r="I59" s="31">
        <f>+'[1]STALNA SREDSTVA'!F36</f>
        <v>2980907.9040000001</v>
      </c>
      <c r="J59" s="31">
        <f>+'[1]STALNA SREDSTVA'!G36</f>
        <v>3079187.9040000001</v>
      </c>
      <c r="K59" s="31">
        <f>+'[1]STALNA SREDSTVA'!H36</f>
        <v>3079187.9040000001</v>
      </c>
      <c r="L59" s="31">
        <f>+'[1]STALNA SREDSTVA'!I36</f>
        <v>2408038.3039999986</v>
      </c>
      <c r="M59" s="31">
        <f>+'[1]STALNA SREDSTVA'!J36</f>
        <v>1760613.1039999998</v>
      </c>
      <c r="N59" s="31">
        <f>+'[1]STALNA SREDSTVA'!K36</f>
        <v>1560613.1039999998</v>
      </c>
      <c r="O59" s="31">
        <f>+'[1]STALNA SREDSTVA'!L36</f>
        <v>1560613.1039999998</v>
      </c>
    </row>
    <row r="60" spans="1:59" ht="3.75" customHeight="1" x14ac:dyDescent="0.25">
      <c r="B60" s="81"/>
      <c r="C60" s="81"/>
      <c r="D60" s="29"/>
      <c r="E60" s="37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59" ht="13" x14ac:dyDescent="0.3">
      <c r="B61" s="70" t="s">
        <v>137</v>
      </c>
      <c r="C61" s="70" t="s">
        <v>137</v>
      </c>
      <c r="D61" s="55"/>
      <c r="E61" s="71">
        <f t="shared" ref="E61:O61" si="41">E57-E59</f>
        <v>3041635.879999999</v>
      </c>
      <c r="F61" s="72">
        <f t="shared" si="41"/>
        <v>5286745.9699999969</v>
      </c>
      <c r="G61" s="72">
        <f t="shared" si="41"/>
        <v>4940828.1993500032</v>
      </c>
      <c r="H61" s="72">
        <f t="shared" si="41"/>
        <v>4346801.5350127509</v>
      </c>
      <c r="I61" s="72">
        <f t="shared" si="41"/>
        <v>4736629.6541356621</v>
      </c>
      <c r="J61" s="72">
        <f t="shared" si="41"/>
        <v>4761465.2624673126</v>
      </c>
      <c r="K61" s="72">
        <f t="shared" si="41"/>
        <v>5386254.5819936013</v>
      </c>
      <c r="L61" s="72">
        <f t="shared" si="41"/>
        <v>5688897.8116979646</v>
      </c>
      <c r="M61" s="72">
        <f t="shared" si="41"/>
        <v>6462927.7018268164</v>
      </c>
      <c r="N61" s="72">
        <f t="shared" si="41"/>
        <v>6791284.2067171764</v>
      </c>
      <c r="O61" s="72">
        <f t="shared" si="41"/>
        <v>6921425.5770045761</v>
      </c>
    </row>
    <row r="62" spans="1:59" x14ac:dyDescent="0.25">
      <c r="B62" s="19" t="s">
        <v>138</v>
      </c>
      <c r="C62" s="19" t="s">
        <v>8</v>
      </c>
      <c r="D62" s="20"/>
      <c r="E62" s="21">
        <f t="shared" ref="E62:O62" si="42">E61/E23</f>
        <v>0.10591081996032213</v>
      </c>
      <c r="F62" s="22">
        <f t="shared" si="42"/>
        <v>0.17460239398921071</v>
      </c>
      <c r="G62" s="22">
        <f t="shared" si="42"/>
        <v>0.16152326874710379</v>
      </c>
      <c r="H62" s="22">
        <f t="shared" si="42"/>
        <v>0.14056717975053237</v>
      </c>
      <c r="I62" s="22">
        <f t="shared" si="42"/>
        <v>0.15161806083691412</v>
      </c>
      <c r="J62" s="22">
        <f t="shared" si="42"/>
        <v>0.15086421682972903</v>
      </c>
      <c r="K62" s="22">
        <f t="shared" si="42"/>
        <v>0.16892473378733941</v>
      </c>
      <c r="L62" s="22">
        <f t="shared" si="42"/>
        <v>0.17660043770653847</v>
      </c>
      <c r="M62" s="22">
        <f t="shared" si="42"/>
        <v>0.1985850944947079</v>
      </c>
      <c r="N62" s="22">
        <f t="shared" si="42"/>
        <v>0.20654718959059348</v>
      </c>
      <c r="O62" s="22">
        <f t="shared" si="42"/>
        <v>0.20835752625449586</v>
      </c>
    </row>
    <row r="63" spans="1:59" x14ac:dyDescent="0.25">
      <c r="B63" s="42" t="s">
        <v>139</v>
      </c>
      <c r="C63" s="42" t="s">
        <v>140</v>
      </c>
      <c r="D63" s="29"/>
      <c r="E63" s="37">
        <f t="shared" ref="E63:O63" si="43">E64-E68</f>
        <v>-596387</v>
      </c>
      <c r="F63" s="31">
        <f t="shared" si="43"/>
        <v>-9428779.2269548625</v>
      </c>
      <c r="G63" s="31">
        <f t="shared" si="43"/>
        <v>-3708025.1410847255</v>
      </c>
      <c r="H63" s="31">
        <f t="shared" si="43"/>
        <v>-967130.48953893827</v>
      </c>
      <c r="I63" s="31">
        <f t="shared" si="43"/>
        <v>-961643.8356164383</v>
      </c>
      <c r="J63" s="31">
        <f t="shared" si="43"/>
        <v>-961643.8356164383</v>
      </c>
      <c r="K63" s="31">
        <f t="shared" si="43"/>
        <v>-400684.9315068493</v>
      </c>
      <c r="L63" s="31">
        <f t="shared" si="43"/>
        <v>0</v>
      </c>
      <c r="M63" s="31">
        <f t="shared" si="43"/>
        <v>0</v>
      </c>
      <c r="N63" s="31">
        <f t="shared" si="43"/>
        <v>0</v>
      </c>
      <c r="O63" s="31">
        <f t="shared" si="43"/>
        <v>0</v>
      </c>
    </row>
    <row r="64" spans="1:59" ht="13" x14ac:dyDescent="0.3">
      <c r="B64" s="83" t="s">
        <v>141</v>
      </c>
      <c r="C64" s="83" t="s">
        <v>142</v>
      </c>
      <c r="D64" s="55"/>
      <c r="E64" s="84">
        <f t="shared" ref="E64:F64" si="44">SUM(E65:E67)</f>
        <v>28385</v>
      </c>
      <c r="F64" s="85">
        <f t="shared" si="44"/>
        <v>0</v>
      </c>
      <c r="G64" s="85">
        <f t="shared" ref="G64:O64" si="45">SUM(G65:G67)</f>
        <v>0</v>
      </c>
      <c r="H64" s="85">
        <f t="shared" si="45"/>
        <v>0</v>
      </c>
      <c r="I64" s="85">
        <f t="shared" si="45"/>
        <v>0</v>
      </c>
      <c r="J64" s="85">
        <f t="shared" si="45"/>
        <v>0</v>
      </c>
      <c r="K64" s="85">
        <f t="shared" si="45"/>
        <v>0</v>
      </c>
      <c r="L64" s="85">
        <f t="shared" si="45"/>
        <v>0</v>
      </c>
      <c r="M64" s="85">
        <f t="shared" si="45"/>
        <v>0</v>
      </c>
      <c r="N64" s="85">
        <f t="shared" si="45"/>
        <v>0</v>
      </c>
      <c r="O64" s="85">
        <f t="shared" si="45"/>
        <v>0</v>
      </c>
    </row>
    <row r="65" spans="1:15" s="32" customFormat="1" outlineLevel="1" x14ac:dyDescent="0.25">
      <c r="A65" s="32" t="s">
        <v>143</v>
      </c>
      <c r="B65" s="33" t="s">
        <v>144</v>
      </c>
      <c r="C65" s="33" t="s">
        <v>145</v>
      </c>
      <c r="D65" s="29"/>
      <c r="E65" s="30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</row>
    <row r="66" spans="1:15" s="32" customFormat="1" outlineLevel="1" x14ac:dyDescent="0.25">
      <c r="A66" s="32" t="s">
        <v>146</v>
      </c>
      <c r="B66" s="33" t="s">
        <v>147</v>
      </c>
      <c r="C66" s="33" t="s">
        <v>148</v>
      </c>
      <c r="D66" s="29"/>
      <c r="E66" s="30">
        <v>2014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</row>
    <row r="67" spans="1:15" s="32" customFormat="1" outlineLevel="1" x14ac:dyDescent="0.25">
      <c r="A67" s="32" t="s">
        <v>149</v>
      </c>
      <c r="B67" s="33" t="s">
        <v>150</v>
      </c>
      <c r="C67" s="33" t="s">
        <v>151</v>
      </c>
      <c r="D67" s="29"/>
      <c r="E67" s="30">
        <v>26371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</row>
    <row r="68" spans="1:15" ht="13" x14ac:dyDescent="0.3">
      <c r="B68" s="83" t="s">
        <v>152</v>
      </c>
      <c r="C68" s="83" t="s">
        <v>153</v>
      </c>
      <c r="D68" s="55"/>
      <c r="E68" s="84">
        <f t="shared" ref="E68:O68" si="46">SUM(E69:E71)</f>
        <v>624772</v>
      </c>
      <c r="F68" s="85">
        <f t="shared" si="46"/>
        <v>9428779.2269548625</v>
      </c>
      <c r="G68" s="85">
        <f t="shared" si="46"/>
        <v>3708025.1410847255</v>
      </c>
      <c r="H68" s="85">
        <f t="shared" si="46"/>
        <v>967130.48953893827</v>
      </c>
      <c r="I68" s="85">
        <f t="shared" si="46"/>
        <v>961643.8356164383</v>
      </c>
      <c r="J68" s="85">
        <f t="shared" si="46"/>
        <v>961643.8356164383</v>
      </c>
      <c r="K68" s="85">
        <f t="shared" si="46"/>
        <v>400684.9315068493</v>
      </c>
      <c r="L68" s="85">
        <f t="shared" si="46"/>
        <v>0</v>
      </c>
      <c r="M68" s="85">
        <f t="shared" si="46"/>
        <v>0</v>
      </c>
      <c r="N68" s="85">
        <f t="shared" si="46"/>
        <v>0</v>
      </c>
      <c r="O68" s="85">
        <f t="shared" si="46"/>
        <v>0</v>
      </c>
    </row>
    <row r="69" spans="1:15" s="32" customFormat="1" outlineLevel="1" x14ac:dyDescent="0.25">
      <c r="A69" s="32" t="s">
        <v>154</v>
      </c>
      <c r="B69" s="33" t="s">
        <v>155</v>
      </c>
      <c r="C69" s="33" t="s">
        <v>156</v>
      </c>
      <c r="D69" s="29"/>
      <c r="E69" s="30">
        <v>381695</v>
      </c>
      <c r="F69" s="34">
        <f>+'[1]Krediti Banaka'!C33+[1]SPORAZUM!S24</f>
        <v>2359274.2269548629</v>
      </c>
      <c r="G69" s="34">
        <f>+'[1]Krediti Banaka'!D33</f>
        <v>3696575.9718047255</v>
      </c>
      <c r="H69" s="34">
        <f>+'[1]Krediti Banaka'!E33</f>
        <v>967112.3895389383</v>
      </c>
      <c r="I69" s="34">
        <f>+'[1]Krediti Banaka'!F33</f>
        <v>961643.8356164383</v>
      </c>
      <c r="J69" s="34">
        <f>+'[1]Krediti Banaka'!G33</f>
        <v>961643.8356164383</v>
      </c>
      <c r="K69" s="34">
        <f>+'[1]Krediti Banaka'!H33</f>
        <v>400684.9315068493</v>
      </c>
      <c r="L69" s="34">
        <f>+'[1]Krediti Banaka'!I33</f>
        <v>0</v>
      </c>
      <c r="M69" s="34">
        <f>+'[1]Krediti Banaka'!J33</f>
        <v>0</v>
      </c>
      <c r="N69" s="34">
        <f>+'[1]Krediti Banaka'!K33</f>
        <v>0</v>
      </c>
      <c r="O69" s="34">
        <f>+'[1]Krediti Banaka'!L33</f>
        <v>0</v>
      </c>
    </row>
    <row r="70" spans="1:15" s="32" customFormat="1" outlineLevel="1" x14ac:dyDescent="0.25">
      <c r="A70" s="32" t="s">
        <v>157</v>
      </c>
      <c r="B70" s="33" t="s">
        <v>158</v>
      </c>
      <c r="C70" s="33" t="s">
        <v>159</v>
      </c>
      <c r="D70" s="29"/>
      <c r="E70" s="30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</row>
    <row r="71" spans="1:15" s="32" customFormat="1" outlineLevel="1" x14ac:dyDescent="0.25">
      <c r="A71" s="32" t="s">
        <v>160</v>
      </c>
      <c r="B71" s="33" t="s">
        <v>161</v>
      </c>
      <c r="C71" s="33" t="s">
        <v>162</v>
      </c>
      <c r="D71" s="29"/>
      <c r="E71" s="30">
        <v>243077</v>
      </c>
      <c r="F71" s="34">
        <v>7069505</v>
      </c>
      <c r="G71" s="34">
        <f>+[1]SPORAZUM!S36</f>
        <v>11449.169279999996</v>
      </c>
      <c r="H71" s="34">
        <f>+[1]SPORAZUM!S37</f>
        <v>18.100000000000001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</row>
    <row r="72" spans="1:15" x14ac:dyDescent="0.25">
      <c r="B72" s="42" t="s">
        <v>163</v>
      </c>
      <c r="C72" s="42" t="s">
        <v>164</v>
      </c>
      <c r="D72" s="29"/>
      <c r="E72" s="37">
        <f t="shared" ref="E72:O72" si="47">E73-E80</f>
        <v>-2385670</v>
      </c>
      <c r="F72" s="31">
        <f t="shared" si="47"/>
        <v>7674524.2800000003</v>
      </c>
      <c r="G72" s="31">
        <f t="shared" si="47"/>
        <v>-376488.02720000001</v>
      </c>
      <c r="H72" s="31">
        <f t="shared" si="47"/>
        <v>-377252.90747199999</v>
      </c>
      <c r="I72" s="31">
        <f t="shared" si="47"/>
        <v>-378025.43654671998</v>
      </c>
      <c r="J72" s="31">
        <f t="shared" si="47"/>
        <v>-378805.69091218722</v>
      </c>
      <c r="K72" s="31">
        <f t="shared" si="47"/>
        <v>-379593.74782130908</v>
      </c>
      <c r="L72" s="31">
        <f t="shared" si="47"/>
        <v>-380389.68529952219</v>
      </c>
      <c r="M72" s="31">
        <f t="shared" si="47"/>
        <v>-381193.5821525174</v>
      </c>
      <c r="N72" s="31">
        <f t="shared" si="47"/>
        <v>-382005.51797404257</v>
      </c>
      <c r="O72" s="31">
        <f t="shared" si="47"/>
        <v>-382825.57315378299</v>
      </c>
    </row>
    <row r="73" spans="1:15" ht="13" x14ac:dyDescent="0.3">
      <c r="B73" s="83" t="s">
        <v>165</v>
      </c>
      <c r="C73" s="83" t="s">
        <v>166</v>
      </c>
      <c r="D73" s="55"/>
      <c r="E73" s="84">
        <f t="shared" ref="E73:M73" si="48">SUM(E74:E79)</f>
        <v>1842746</v>
      </c>
      <c r="F73" s="85">
        <f t="shared" si="48"/>
        <v>8050255</v>
      </c>
      <c r="G73" s="85">
        <f t="shared" si="48"/>
        <v>0</v>
      </c>
      <c r="H73" s="85">
        <f t="shared" si="48"/>
        <v>0</v>
      </c>
      <c r="I73" s="85">
        <f t="shared" si="48"/>
        <v>0</v>
      </c>
      <c r="J73" s="85">
        <f t="shared" si="48"/>
        <v>0</v>
      </c>
      <c r="K73" s="85">
        <f t="shared" si="48"/>
        <v>0</v>
      </c>
      <c r="L73" s="85">
        <f t="shared" si="48"/>
        <v>0</v>
      </c>
      <c r="M73" s="85">
        <f t="shared" si="48"/>
        <v>0</v>
      </c>
      <c r="N73" s="85">
        <f t="shared" ref="N73:O73" si="49">SUM(N74:N79)</f>
        <v>0</v>
      </c>
      <c r="O73" s="85">
        <f t="shared" si="49"/>
        <v>0</v>
      </c>
    </row>
    <row r="74" spans="1:15" s="32" customFormat="1" outlineLevel="1" x14ac:dyDescent="0.25">
      <c r="A74" s="32" t="s">
        <v>167</v>
      </c>
      <c r="B74" s="33" t="s">
        <v>168</v>
      </c>
      <c r="C74" s="33" t="s">
        <v>169</v>
      </c>
      <c r="D74" s="29"/>
      <c r="E74" s="30">
        <v>20713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</row>
    <row r="75" spans="1:15" s="32" customFormat="1" outlineLevel="1" x14ac:dyDescent="0.25">
      <c r="A75" s="32" t="s">
        <v>170</v>
      </c>
      <c r="B75" s="33" t="s">
        <v>171</v>
      </c>
      <c r="C75" s="33" t="s">
        <v>172</v>
      </c>
      <c r="D75" s="29"/>
      <c r="E75" s="30">
        <v>0</v>
      </c>
      <c r="F75" s="34">
        <f>+'[1]PROMJENE-STALNA SREDSTVA'!F10</f>
        <v>7173368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</row>
    <row r="76" spans="1:15" s="32" customFormat="1" outlineLevel="1" x14ac:dyDescent="0.25">
      <c r="A76" s="32" t="s">
        <v>173</v>
      </c>
      <c r="B76" s="33" t="s">
        <v>174</v>
      </c>
      <c r="C76" s="33" t="s">
        <v>175</v>
      </c>
      <c r="D76" s="29"/>
      <c r="E76" s="30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</row>
    <row r="77" spans="1:15" s="32" customFormat="1" outlineLevel="1" x14ac:dyDescent="0.25">
      <c r="A77" s="32" t="s">
        <v>176</v>
      </c>
      <c r="B77" s="33" t="s">
        <v>177</v>
      </c>
      <c r="C77" s="33" t="s">
        <v>178</v>
      </c>
      <c r="D77" s="29"/>
      <c r="E77" s="30">
        <v>35953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</row>
    <row r="78" spans="1:15" s="32" customFormat="1" outlineLevel="1" x14ac:dyDescent="0.25">
      <c r="A78" s="32" t="s">
        <v>179</v>
      </c>
      <c r="B78" s="33" t="s">
        <v>180</v>
      </c>
      <c r="C78" s="33" t="s">
        <v>181</v>
      </c>
      <c r="D78" s="29"/>
      <c r="E78" s="30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</row>
    <row r="79" spans="1:15" s="32" customFormat="1" outlineLevel="1" x14ac:dyDescent="0.25">
      <c r="A79" s="32" t="s">
        <v>182</v>
      </c>
      <c r="B79" s="33" t="s">
        <v>183</v>
      </c>
      <c r="C79" s="33" t="s">
        <v>184</v>
      </c>
      <c r="D79" s="29"/>
      <c r="E79" s="30">
        <v>1786080</v>
      </c>
      <c r="F79" s="34">
        <v>876887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</row>
    <row r="80" spans="1:15" ht="13" x14ac:dyDescent="0.3">
      <c r="B80" s="83" t="s">
        <v>185</v>
      </c>
      <c r="C80" s="83" t="s">
        <v>186</v>
      </c>
      <c r="D80" s="55"/>
      <c r="E80" s="84">
        <f>SUM(E81:E88)</f>
        <v>4228416</v>
      </c>
      <c r="F80" s="85">
        <f t="shared" ref="F80:O80" si="50">SUM(F81:F88)</f>
        <v>375730.72</v>
      </c>
      <c r="G80" s="85">
        <f t="shared" si="50"/>
        <v>376488.02720000001</v>
      </c>
      <c r="H80" s="85">
        <f t="shared" si="50"/>
        <v>377252.90747199999</v>
      </c>
      <c r="I80" s="85">
        <f t="shared" si="50"/>
        <v>378025.43654671998</v>
      </c>
      <c r="J80" s="85">
        <f t="shared" si="50"/>
        <v>378805.69091218722</v>
      </c>
      <c r="K80" s="85">
        <f t="shared" si="50"/>
        <v>379593.74782130908</v>
      </c>
      <c r="L80" s="85">
        <f t="shared" si="50"/>
        <v>380389.68529952219</v>
      </c>
      <c r="M80" s="85">
        <f t="shared" si="50"/>
        <v>381193.5821525174</v>
      </c>
      <c r="N80" s="85">
        <f t="shared" si="50"/>
        <v>382005.51797404257</v>
      </c>
      <c r="O80" s="85">
        <f t="shared" si="50"/>
        <v>382825.57315378299</v>
      </c>
    </row>
    <row r="81" spans="1:15" s="32" customFormat="1" outlineLevel="1" x14ac:dyDescent="0.25">
      <c r="A81" s="32" t="s">
        <v>187</v>
      </c>
      <c r="B81" s="33" t="s">
        <v>188</v>
      </c>
      <c r="C81" s="33" t="s">
        <v>189</v>
      </c>
      <c r="D81" s="29"/>
      <c r="E81" s="30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</row>
    <row r="82" spans="1:15" s="32" customFormat="1" outlineLevel="1" x14ac:dyDescent="0.25">
      <c r="A82" s="32" t="s">
        <v>190</v>
      </c>
      <c r="B82" s="33" t="s">
        <v>191</v>
      </c>
      <c r="C82" s="33" t="s">
        <v>192</v>
      </c>
      <c r="D82" s="29"/>
      <c r="E82" s="30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</row>
    <row r="83" spans="1:15" s="32" customFormat="1" outlineLevel="1" x14ac:dyDescent="0.25">
      <c r="A83" s="32" t="s">
        <v>193</v>
      </c>
      <c r="B83" s="33" t="s">
        <v>194</v>
      </c>
      <c r="C83" s="33" t="s">
        <v>195</v>
      </c>
      <c r="D83" s="29"/>
      <c r="E83" s="30">
        <v>72818</v>
      </c>
      <c r="F83" s="34">
        <f t="shared" ref="F83:L83" si="51">E83*F1</f>
        <v>75730.720000000001</v>
      </c>
      <c r="G83" s="34">
        <f t="shared" si="51"/>
        <v>76488.027199999997</v>
      </c>
      <c r="H83" s="34">
        <f t="shared" si="51"/>
        <v>77252.907471999992</v>
      </c>
      <c r="I83" s="34">
        <f>H83*I1</f>
        <v>78025.436546719997</v>
      </c>
      <c r="J83" s="34">
        <f t="shared" si="51"/>
        <v>78805.690912187201</v>
      </c>
      <c r="K83" s="34">
        <f t="shared" si="51"/>
        <v>79593.74782130908</v>
      </c>
      <c r="L83" s="34">
        <f t="shared" si="51"/>
        <v>80389.685299522171</v>
      </c>
      <c r="M83" s="34">
        <f>L83*M1</f>
        <v>81193.582152517396</v>
      </c>
      <c r="N83" s="34">
        <f t="shared" ref="N83:O83" si="52">M83*N1</f>
        <v>82005.517974042566</v>
      </c>
      <c r="O83" s="34">
        <f t="shared" si="52"/>
        <v>82825.573153783</v>
      </c>
    </row>
    <row r="84" spans="1:15" s="32" customFormat="1" outlineLevel="1" x14ac:dyDescent="0.25">
      <c r="A84" s="32" t="s">
        <v>196</v>
      </c>
      <c r="B84" s="33" t="s">
        <v>197</v>
      </c>
      <c r="C84" s="33" t="s">
        <v>198</v>
      </c>
      <c r="D84" s="29"/>
      <c r="E84" s="30">
        <v>1307927</v>
      </c>
      <c r="F84" s="86">
        <v>0</v>
      </c>
      <c r="G84" s="86">
        <v>0</v>
      </c>
      <c r="H84" s="34">
        <v>0</v>
      </c>
      <c r="I84" s="86">
        <v>0</v>
      </c>
      <c r="J84" s="86">
        <v>0</v>
      </c>
      <c r="K84" s="86">
        <v>0</v>
      </c>
      <c r="L84" s="86">
        <v>0</v>
      </c>
      <c r="M84" s="86">
        <v>0</v>
      </c>
      <c r="N84" s="86">
        <v>0</v>
      </c>
      <c r="O84" s="86">
        <v>0</v>
      </c>
    </row>
    <row r="85" spans="1:15" s="32" customFormat="1" outlineLevel="1" x14ac:dyDescent="0.25">
      <c r="A85" s="32" t="s">
        <v>199</v>
      </c>
      <c r="B85" s="33" t="s">
        <v>200</v>
      </c>
      <c r="C85" s="33" t="s">
        <v>201</v>
      </c>
      <c r="D85" s="29"/>
      <c r="E85" s="30">
        <v>29092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</row>
    <row r="86" spans="1:15" s="32" customFormat="1" outlineLevel="1" x14ac:dyDescent="0.25">
      <c r="A86" s="32" t="s">
        <v>202</v>
      </c>
      <c r="B86" s="33" t="s">
        <v>203</v>
      </c>
      <c r="C86" s="33" t="s">
        <v>204</v>
      </c>
      <c r="D86" s="29"/>
      <c r="E86" s="30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</row>
    <row r="87" spans="1:15" s="32" customFormat="1" outlineLevel="1" x14ac:dyDescent="0.25">
      <c r="A87" s="32" t="s">
        <v>205</v>
      </c>
      <c r="B87" s="33" t="s">
        <v>206</v>
      </c>
      <c r="C87" s="33" t="s">
        <v>207</v>
      </c>
      <c r="D87" s="29"/>
      <c r="E87" s="30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</row>
    <row r="88" spans="1:15" s="32" customFormat="1" outlineLevel="1" x14ac:dyDescent="0.25">
      <c r="A88" s="32" t="s">
        <v>208</v>
      </c>
      <c r="B88" s="33" t="s">
        <v>209</v>
      </c>
      <c r="C88" s="33" t="s">
        <v>210</v>
      </c>
      <c r="D88" s="29"/>
      <c r="E88" s="30">
        <v>2818579</v>
      </c>
      <c r="F88" s="34">
        <v>300000</v>
      </c>
      <c r="G88" s="34">
        <v>300000</v>
      </c>
      <c r="H88" s="34">
        <v>300000</v>
      </c>
      <c r="I88" s="34">
        <v>300000</v>
      </c>
      <c r="J88" s="34">
        <v>300000</v>
      </c>
      <c r="K88" s="34">
        <v>300000</v>
      </c>
      <c r="L88" s="34">
        <v>300000</v>
      </c>
      <c r="M88" s="34">
        <v>300000</v>
      </c>
      <c r="N88" s="34">
        <v>300000</v>
      </c>
      <c r="O88" s="34">
        <v>300000</v>
      </c>
    </row>
    <row r="89" spans="1:15" s="23" customFormat="1" ht="13" x14ac:dyDescent="0.3">
      <c r="B89" s="87" t="s">
        <v>211</v>
      </c>
      <c r="C89" s="87" t="s">
        <v>212</v>
      </c>
      <c r="D89" s="55"/>
      <c r="E89" s="88">
        <f t="shared" ref="E89:O89" si="53">E73+E64+E23</f>
        <v>30589970.879999999</v>
      </c>
      <c r="F89" s="89">
        <f t="shared" si="53"/>
        <v>38329026.379999995</v>
      </c>
      <c r="G89" s="89">
        <f t="shared" si="53"/>
        <v>30588956.239399999</v>
      </c>
      <c r="H89" s="89">
        <f t="shared" si="53"/>
        <v>30923303.311108001</v>
      </c>
      <c r="I89" s="89">
        <f t="shared" si="53"/>
        <v>31240537.096900038</v>
      </c>
      <c r="J89" s="89">
        <f t="shared" si="53"/>
        <v>31561263.250657242</v>
      </c>
      <c r="K89" s="89">
        <f t="shared" si="53"/>
        <v>31885529.497263536</v>
      </c>
      <c r="L89" s="89">
        <f t="shared" si="53"/>
        <v>32213384.550899889</v>
      </c>
      <c r="M89" s="89">
        <f t="shared" si="53"/>
        <v>32544878.145419154</v>
      </c>
      <c r="N89" s="89">
        <f t="shared" si="53"/>
        <v>32880061.065844022</v>
      </c>
      <c r="O89" s="89">
        <f t="shared" si="53"/>
        <v>33218985.181031965</v>
      </c>
    </row>
    <row r="90" spans="1:15" ht="13" x14ac:dyDescent="0.3">
      <c r="B90" s="83" t="s">
        <v>213</v>
      </c>
      <c r="C90" s="83" t="s">
        <v>214</v>
      </c>
      <c r="D90" s="55"/>
      <c r="E90" s="84">
        <f t="shared" ref="E90:O90" si="54">E80+E68+E59+E55+E25</f>
        <v>30530392</v>
      </c>
      <c r="F90" s="85">
        <f t="shared" si="54"/>
        <v>34796535.356954865</v>
      </c>
      <c r="G90" s="85">
        <f t="shared" si="54"/>
        <v>29732641.208334722</v>
      </c>
      <c r="H90" s="85">
        <f t="shared" si="54"/>
        <v>27920885.173106186</v>
      </c>
      <c r="I90" s="85">
        <f t="shared" si="54"/>
        <v>27843576.714927532</v>
      </c>
      <c r="J90" s="85">
        <f t="shared" si="54"/>
        <v>28140247.514718555</v>
      </c>
      <c r="K90" s="85">
        <f t="shared" si="54"/>
        <v>27279553.594598092</v>
      </c>
      <c r="L90" s="85">
        <f t="shared" si="54"/>
        <v>26904876.424501449</v>
      </c>
      <c r="M90" s="85">
        <f t="shared" si="54"/>
        <v>26463144.025744855</v>
      </c>
      <c r="N90" s="85">
        <f t="shared" si="54"/>
        <v>26470782.377100885</v>
      </c>
      <c r="O90" s="85">
        <f t="shared" si="54"/>
        <v>26680385.177181169</v>
      </c>
    </row>
    <row r="91" spans="1:15" ht="3" customHeight="1" x14ac:dyDescent="0.25">
      <c r="B91" s="81"/>
      <c r="C91" s="81"/>
      <c r="D91" s="90"/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</row>
    <row r="92" spans="1:15" ht="13" x14ac:dyDescent="0.3">
      <c r="B92" s="70" t="s">
        <v>215</v>
      </c>
      <c r="C92" s="70" t="s">
        <v>216</v>
      </c>
      <c r="D92" s="55"/>
      <c r="E92" s="71">
        <f t="shared" ref="E92:O92" si="55">E89-E90</f>
        <v>59578.879999998957</v>
      </c>
      <c r="F92" s="72">
        <f t="shared" si="55"/>
        <v>3532491.0230451301</v>
      </c>
      <c r="G92" s="72">
        <f t="shared" si="55"/>
        <v>856315.03106527776</v>
      </c>
      <c r="H92" s="72">
        <f t="shared" si="55"/>
        <v>3002418.1380018145</v>
      </c>
      <c r="I92" s="72">
        <f t="shared" si="55"/>
        <v>3396960.3819725066</v>
      </c>
      <c r="J92" s="72">
        <f t="shared" si="55"/>
        <v>3421015.7359386869</v>
      </c>
      <c r="K92" s="72">
        <f t="shared" si="55"/>
        <v>4605975.9026654437</v>
      </c>
      <c r="L92" s="72">
        <f t="shared" si="55"/>
        <v>5308508.1263984405</v>
      </c>
      <c r="M92" s="72">
        <f t="shared" si="55"/>
        <v>6081734.1196742989</v>
      </c>
      <c r="N92" s="72">
        <f t="shared" si="55"/>
        <v>6409278.6887431368</v>
      </c>
      <c r="O92" s="72">
        <f t="shared" si="55"/>
        <v>6538600.0038507953</v>
      </c>
    </row>
    <row r="93" spans="1:15" x14ac:dyDescent="0.25">
      <c r="A93" s="36" t="s">
        <v>217</v>
      </c>
      <c r="B93" s="42" t="s">
        <v>218</v>
      </c>
      <c r="C93" s="42" t="s">
        <v>219</v>
      </c>
      <c r="D93" s="29"/>
      <c r="E93" s="30">
        <v>12012</v>
      </c>
      <c r="F93" s="31">
        <f t="shared" ref="F93:O93" si="56">+F92*0.1</f>
        <v>353249.10230451304</v>
      </c>
      <c r="G93" s="31">
        <f t="shared" si="56"/>
        <v>85631.503106527787</v>
      </c>
      <c r="H93" s="31">
        <f t="shared" si="56"/>
        <v>300241.81380018144</v>
      </c>
      <c r="I93" s="31">
        <f t="shared" si="56"/>
        <v>339696.03819725069</v>
      </c>
      <c r="J93" s="31">
        <f t="shared" si="56"/>
        <v>342101.5735938687</v>
      </c>
      <c r="K93" s="31">
        <f t="shared" si="56"/>
        <v>460597.59026654437</v>
      </c>
      <c r="L93" s="31">
        <f t="shared" si="56"/>
        <v>530850.81263984402</v>
      </c>
      <c r="M93" s="31">
        <f t="shared" si="56"/>
        <v>608173.41196742991</v>
      </c>
      <c r="N93" s="31">
        <f t="shared" si="56"/>
        <v>640927.86887431378</v>
      </c>
      <c r="O93" s="31">
        <f t="shared" si="56"/>
        <v>653860.00038507953</v>
      </c>
    </row>
    <row r="94" spans="1:15" ht="3" customHeight="1" x14ac:dyDescent="0.25">
      <c r="B94" s="81"/>
      <c r="C94" s="81"/>
      <c r="D94" s="90"/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</row>
    <row r="95" spans="1:15" ht="13.5" thickBot="1" x14ac:dyDescent="0.3">
      <c r="B95" s="93" t="s">
        <v>220</v>
      </c>
      <c r="C95" s="93" t="s">
        <v>221</v>
      </c>
      <c r="D95" s="39"/>
      <c r="E95" s="94">
        <f>E92-E93</f>
        <v>47566.879999998957</v>
      </c>
      <c r="F95" s="95">
        <f t="shared" ref="F95:O95" si="57">F92-F93</f>
        <v>3179241.920740617</v>
      </c>
      <c r="G95" s="95">
        <f t="shared" si="57"/>
        <v>770683.52795875003</v>
      </c>
      <c r="H95" s="95">
        <f t="shared" si="57"/>
        <v>2702176.3242016332</v>
      </c>
      <c r="I95" s="95">
        <f t="shared" si="57"/>
        <v>3057264.3437752561</v>
      </c>
      <c r="J95" s="95">
        <f t="shared" si="57"/>
        <v>3078914.162344818</v>
      </c>
      <c r="K95" s="95">
        <f t="shared" si="57"/>
        <v>4145378.3123988993</v>
      </c>
      <c r="L95" s="95">
        <f t="shared" si="57"/>
        <v>4777657.3137585968</v>
      </c>
      <c r="M95" s="95">
        <f t="shared" si="57"/>
        <v>5473560.7077068686</v>
      </c>
      <c r="N95" s="95">
        <f t="shared" si="57"/>
        <v>5768350.8198688235</v>
      </c>
      <c r="O95" s="95">
        <f t="shared" si="57"/>
        <v>5884740.0034657158</v>
      </c>
    </row>
    <row r="96" spans="1:15" ht="13" x14ac:dyDescent="0.3">
      <c r="B96" s="96" t="s">
        <v>222</v>
      </c>
      <c r="C96" s="96" t="s">
        <v>223</v>
      </c>
      <c r="D96" s="97"/>
      <c r="E96" s="98">
        <f t="shared" ref="E96:O96" si="58">E95/E23</f>
        <v>1.6562953168983983E-3</v>
      </c>
      <c r="F96" s="99">
        <f t="shared" si="58"/>
        <v>0.1049990397840448</v>
      </c>
      <c r="G96" s="99">
        <f t="shared" si="58"/>
        <v>2.519482920329507E-2</v>
      </c>
      <c r="H96" s="99">
        <f t="shared" si="58"/>
        <v>8.7383171746434382E-2</v>
      </c>
      <c r="I96" s="99">
        <f t="shared" si="58"/>
        <v>9.7862092904882375E-2</v>
      </c>
      <c r="J96" s="99">
        <f t="shared" si="58"/>
        <v>9.7553578191478182E-2</v>
      </c>
      <c r="K96" s="99">
        <f t="shared" si="58"/>
        <v>0.1300081377903623</v>
      </c>
      <c r="L96" s="99">
        <f t="shared" si="58"/>
        <v>0.14831280166197661</v>
      </c>
      <c r="M96" s="99">
        <f t="shared" si="58"/>
        <v>0.16818501157845933</v>
      </c>
      <c r="N96" s="99">
        <f t="shared" si="58"/>
        <v>0.1754361346323963</v>
      </c>
      <c r="O96" s="99">
        <f t="shared" si="58"/>
        <v>0.17714990302671563</v>
      </c>
    </row>
    <row r="97" spans="1:59" ht="13" x14ac:dyDescent="0.3">
      <c r="B97" s="100"/>
      <c r="C97" s="100"/>
      <c r="D97" s="101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</row>
    <row r="98" spans="1:59" ht="13.5" thickBot="1" x14ac:dyDescent="0.35">
      <c r="D98" s="101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</row>
    <row r="99" spans="1:59" ht="13" hidden="1" thickBot="1" x14ac:dyDescent="0.3">
      <c r="C99" s="1" t="s">
        <v>224</v>
      </c>
      <c r="D99" s="103"/>
      <c r="E99" s="104">
        <v>1485487</v>
      </c>
      <c r="F99" s="104">
        <v>1485487</v>
      </c>
      <c r="G99" s="104">
        <v>1485487</v>
      </c>
      <c r="H99" s="104">
        <v>1485487</v>
      </c>
      <c r="I99" s="104">
        <v>1485487</v>
      </c>
      <c r="J99" s="104">
        <v>1485487</v>
      </c>
      <c r="K99" s="104">
        <v>1485487</v>
      </c>
      <c r="L99" s="104">
        <v>1485487</v>
      </c>
      <c r="M99" s="104">
        <v>1485487</v>
      </c>
      <c r="N99" s="104">
        <v>1485487</v>
      </c>
      <c r="O99" s="104">
        <v>1485487</v>
      </c>
    </row>
    <row r="100" spans="1:59" ht="13" hidden="1" thickBot="1" x14ac:dyDescent="0.3">
      <c r="D100" s="103"/>
      <c r="E100" s="104">
        <v>8613530.0356589556</v>
      </c>
      <c r="F100" s="104">
        <v>8613530.0356589556</v>
      </c>
      <c r="G100" s="104">
        <v>8613530.0356589556</v>
      </c>
      <c r="H100" s="104">
        <v>8613530.0356589556</v>
      </c>
      <c r="I100" s="104">
        <v>8613530.0356589556</v>
      </c>
      <c r="J100" s="104">
        <v>8613530.0356589556</v>
      </c>
      <c r="K100" s="104">
        <v>8613530.0356589556</v>
      </c>
      <c r="L100" s="104">
        <v>8613530.0356589556</v>
      </c>
      <c r="M100" s="104">
        <v>8613530.0356589556</v>
      </c>
      <c r="N100" s="104">
        <v>8613530.0356589556</v>
      </c>
      <c r="O100" s="104">
        <v>8613530.0356589556</v>
      </c>
    </row>
    <row r="101" spans="1:59" ht="13.5" thickBot="1" x14ac:dyDescent="0.35">
      <c r="B101" s="105" t="s">
        <v>225</v>
      </c>
      <c r="C101" s="105" t="s">
        <v>226</v>
      </c>
      <c r="D101" s="11"/>
      <c r="E101" s="106" t="s">
        <v>5</v>
      </c>
      <c r="F101" s="107" t="s">
        <v>5</v>
      </c>
      <c r="G101" s="107" t="s">
        <v>5</v>
      </c>
      <c r="H101" s="107" t="s">
        <v>5</v>
      </c>
      <c r="I101" s="107" t="s">
        <v>5</v>
      </c>
      <c r="J101" s="107" t="s">
        <v>5</v>
      </c>
      <c r="K101" s="107" t="s">
        <v>5</v>
      </c>
      <c r="L101" s="107" t="s">
        <v>5</v>
      </c>
      <c r="M101" s="107" t="s">
        <v>5</v>
      </c>
      <c r="N101" s="107" t="s">
        <v>5</v>
      </c>
      <c r="O101" s="107" t="s">
        <v>5</v>
      </c>
    </row>
    <row r="102" spans="1:59" ht="13" x14ac:dyDescent="0.3">
      <c r="B102" s="108" t="s">
        <v>6</v>
      </c>
      <c r="C102" s="108" t="str">
        <f>C5</f>
        <v>u KM</v>
      </c>
      <c r="D102" s="109"/>
      <c r="E102" s="110">
        <v>2024</v>
      </c>
      <c r="F102" s="18">
        <v>2025</v>
      </c>
      <c r="G102" s="18">
        <v>2026</v>
      </c>
      <c r="H102" s="18">
        <v>2027</v>
      </c>
      <c r="I102" s="18">
        <v>2028</v>
      </c>
      <c r="J102" s="18">
        <v>2029</v>
      </c>
      <c r="K102" s="18">
        <v>2030</v>
      </c>
      <c r="L102" s="18">
        <v>2031</v>
      </c>
      <c r="M102" s="18">
        <v>2032</v>
      </c>
      <c r="N102" s="18">
        <v>2033</v>
      </c>
      <c r="O102" s="18">
        <v>2034</v>
      </c>
    </row>
    <row r="103" spans="1:59" s="23" customFormat="1" ht="13" x14ac:dyDescent="0.3">
      <c r="B103" s="111" t="s">
        <v>227</v>
      </c>
      <c r="C103" s="111" t="s">
        <v>228</v>
      </c>
      <c r="D103" s="4"/>
      <c r="E103" s="5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59" x14ac:dyDescent="0.25">
      <c r="B104" s="113" t="s">
        <v>229</v>
      </c>
      <c r="C104" s="113" t="s">
        <v>230</v>
      </c>
      <c r="D104" s="29"/>
      <c r="E104" s="114">
        <f t="shared" ref="E104:M104" si="59">SUM(E105:E108)</f>
        <v>295137</v>
      </c>
      <c r="F104" s="115">
        <f t="shared" si="59"/>
        <v>77448.800000000047</v>
      </c>
      <c r="G104" s="115">
        <f t="shared" si="59"/>
        <v>0</v>
      </c>
      <c r="H104" s="115">
        <f t="shared" si="59"/>
        <v>0</v>
      </c>
      <c r="I104" s="115">
        <f t="shared" si="59"/>
        <v>800000</v>
      </c>
      <c r="J104" s="115">
        <f t="shared" si="59"/>
        <v>600000</v>
      </c>
      <c r="K104" s="115">
        <f t="shared" si="59"/>
        <v>400000</v>
      </c>
      <c r="L104" s="115">
        <f t="shared" si="59"/>
        <v>200000</v>
      </c>
      <c r="M104" s="115">
        <f t="shared" si="59"/>
        <v>0</v>
      </c>
      <c r="N104" s="115">
        <f t="shared" ref="N104:O104" si="60">SUM(N105:N108)</f>
        <v>0</v>
      </c>
      <c r="O104" s="115">
        <f t="shared" si="60"/>
        <v>0</v>
      </c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</row>
    <row r="105" spans="1:59" s="32" customFormat="1" outlineLevel="1" x14ac:dyDescent="0.25">
      <c r="A105" s="117" t="s">
        <v>231</v>
      </c>
      <c r="B105" s="118" t="s">
        <v>232</v>
      </c>
      <c r="C105" s="118" t="s">
        <v>233</v>
      </c>
      <c r="D105" s="29"/>
      <c r="E105" s="30">
        <v>294824</v>
      </c>
      <c r="F105" s="34">
        <f>+'[1]STALNA SREDSTVA'!C7</f>
        <v>77448.800000000047</v>
      </c>
      <c r="G105" s="34">
        <f>+'[1]STALNA SREDSTVA'!D7</f>
        <v>0</v>
      </c>
      <c r="H105" s="34">
        <f>+'[1]STALNA SREDSTVA'!E7</f>
        <v>0</v>
      </c>
      <c r="I105" s="34">
        <f>+'[1]STALNA SREDSTVA'!F7</f>
        <v>0</v>
      </c>
      <c r="J105" s="34">
        <f>+'[1]STALNA SREDSTVA'!G7</f>
        <v>0</v>
      </c>
      <c r="K105" s="34">
        <f>+'[1]STALNA SREDSTVA'!H7</f>
        <v>0</v>
      </c>
      <c r="L105" s="34">
        <f>+'[1]STALNA SREDSTVA'!I7</f>
        <v>0</v>
      </c>
      <c r="M105" s="34">
        <f>+'[1]STALNA SREDSTVA'!J7</f>
        <v>0</v>
      </c>
      <c r="N105" s="34">
        <f>+'[1]STALNA SREDSTVA'!K7</f>
        <v>0</v>
      </c>
      <c r="O105" s="34">
        <f>+'[1]STALNA SREDSTVA'!L7</f>
        <v>0</v>
      </c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</row>
    <row r="106" spans="1:59" s="32" customFormat="1" outlineLevel="1" x14ac:dyDescent="0.25">
      <c r="A106" s="117" t="s">
        <v>234</v>
      </c>
      <c r="B106" s="118" t="s">
        <v>235</v>
      </c>
      <c r="C106" s="118" t="s">
        <v>236</v>
      </c>
      <c r="D106" s="29"/>
      <c r="E106" s="30">
        <f>+'[1]STALNA SREDSTVA'!B11</f>
        <v>0</v>
      </c>
      <c r="F106" s="34">
        <f>+'[1]STALNA SREDSTVA'!C11</f>
        <v>0</v>
      </c>
      <c r="G106" s="34">
        <f>+'[1]STALNA SREDSTVA'!D11</f>
        <v>0</v>
      </c>
      <c r="H106" s="34">
        <f>+'[1]STALNA SREDSTVA'!E11</f>
        <v>0</v>
      </c>
      <c r="I106" s="34">
        <f>+'[1]STALNA SREDSTVA'!F11</f>
        <v>800000</v>
      </c>
      <c r="J106" s="34">
        <f>+'[1]STALNA SREDSTVA'!G11</f>
        <v>600000</v>
      </c>
      <c r="K106" s="34">
        <f>+'[1]STALNA SREDSTVA'!H11</f>
        <v>400000</v>
      </c>
      <c r="L106" s="34">
        <f>+'[1]STALNA SREDSTVA'!I11</f>
        <v>200000</v>
      </c>
      <c r="M106" s="34">
        <f>+'[1]STALNA SREDSTVA'!J11</f>
        <v>0</v>
      </c>
      <c r="N106" s="34">
        <f>+'[1]STALNA SREDSTVA'!K11</f>
        <v>0</v>
      </c>
      <c r="O106" s="34">
        <f>+'[1]STALNA SREDSTVA'!L11</f>
        <v>0</v>
      </c>
    </row>
    <row r="107" spans="1:59" s="32" customFormat="1" outlineLevel="1" x14ac:dyDescent="0.25">
      <c r="A107" s="117" t="s">
        <v>237</v>
      </c>
      <c r="B107" s="118" t="s">
        <v>238</v>
      </c>
      <c r="C107" s="118" t="s">
        <v>239</v>
      </c>
      <c r="D107" s="29"/>
      <c r="E107" s="30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</row>
    <row r="108" spans="1:59" s="32" customFormat="1" outlineLevel="1" x14ac:dyDescent="0.25">
      <c r="A108" s="117" t="s">
        <v>240</v>
      </c>
      <c r="B108" s="118" t="s">
        <v>241</v>
      </c>
      <c r="C108" s="118" t="s">
        <v>242</v>
      </c>
      <c r="D108" s="29"/>
      <c r="E108" s="30">
        <f>+'[1]STALNA SREDSTVA'!B13</f>
        <v>313</v>
      </c>
      <c r="F108" s="34">
        <f>+'[1]STALNA SREDSTVA'!C13</f>
        <v>0</v>
      </c>
      <c r="G108" s="34">
        <f>+'[1]STALNA SREDSTVA'!D13</f>
        <v>0</v>
      </c>
      <c r="H108" s="34">
        <f>+'[1]STALNA SREDSTVA'!E13</f>
        <v>0</v>
      </c>
      <c r="I108" s="34">
        <f>+'[1]STALNA SREDSTVA'!F13</f>
        <v>0</v>
      </c>
      <c r="J108" s="34">
        <f>+'[1]STALNA SREDSTVA'!G13</f>
        <v>0</v>
      </c>
      <c r="K108" s="34">
        <f>+'[1]STALNA SREDSTVA'!H13</f>
        <v>0</v>
      </c>
      <c r="L108" s="34">
        <f>+'[1]STALNA SREDSTVA'!I13</f>
        <v>0</v>
      </c>
      <c r="M108" s="34">
        <f>+'[1]STALNA SREDSTVA'!J13</f>
        <v>0</v>
      </c>
      <c r="N108" s="34">
        <f>+'[1]STALNA SREDSTVA'!K13</f>
        <v>0</v>
      </c>
      <c r="O108" s="34">
        <f>+'[1]STALNA SREDSTVA'!L13</f>
        <v>0</v>
      </c>
    </row>
    <row r="109" spans="1:59" x14ac:dyDescent="0.25">
      <c r="B109" s="113" t="s">
        <v>243</v>
      </c>
      <c r="C109" s="113" t="s">
        <v>244</v>
      </c>
      <c r="D109" s="29"/>
      <c r="E109" s="114">
        <f t="shared" ref="E109:O109" si="61">SUM(E110:E114)</f>
        <v>93111994</v>
      </c>
      <c r="F109" s="115">
        <f t="shared" si="61"/>
        <v>78414890.700000003</v>
      </c>
      <c r="G109" s="115">
        <f t="shared" si="61"/>
        <v>76441982.795999989</v>
      </c>
      <c r="H109" s="115">
        <f t="shared" si="61"/>
        <v>77701074.892000005</v>
      </c>
      <c r="I109" s="115">
        <f t="shared" si="61"/>
        <v>80380166.987999991</v>
      </c>
      <c r="J109" s="115">
        <f t="shared" si="61"/>
        <v>77500979.083999991</v>
      </c>
      <c r="K109" s="115">
        <f t="shared" si="61"/>
        <v>74621791.180000007</v>
      </c>
      <c r="L109" s="115">
        <f t="shared" si="61"/>
        <v>72413752.876000002</v>
      </c>
      <c r="M109" s="115">
        <f t="shared" si="61"/>
        <v>70853139.772</v>
      </c>
      <c r="N109" s="115">
        <f t="shared" si="61"/>
        <v>69292526.668000013</v>
      </c>
      <c r="O109" s="115">
        <f t="shared" si="61"/>
        <v>67731913.56400001</v>
      </c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</row>
    <row r="110" spans="1:59" s="32" customFormat="1" outlineLevel="1" x14ac:dyDescent="0.25">
      <c r="A110" s="32" t="s">
        <v>245</v>
      </c>
      <c r="B110" s="118" t="s">
        <v>246</v>
      </c>
      <c r="C110" s="118" t="s">
        <v>247</v>
      </c>
      <c r="D110" s="29"/>
      <c r="E110" s="30">
        <v>6203105</v>
      </c>
      <c r="F110" s="34">
        <f>+'[1]STALNA SREDSTVA'!C15</f>
        <v>6203105</v>
      </c>
      <c r="G110" s="34">
        <f>+'[1]STALNA SREDSTVA'!D15</f>
        <v>6203105</v>
      </c>
      <c r="H110" s="34">
        <f>+'[1]STALNA SREDSTVA'!E15</f>
        <v>6203105</v>
      </c>
      <c r="I110" s="34">
        <f>+'[1]STALNA SREDSTVA'!F15</f>
        <v>6203105</v>
      </c>
      <c r="J110" s="34">
        <f>+'[1]STALNA SREDSTVA'!G15</f>
        <v>6203105</v>
      </c>
      <c r="K110" s="34">
        <f>+'[1]STALNA SREDSTVA'!H15</f>
        <v>6203105</v>
      </c>
      <c r="L110" s="34">
        <f>+'[1]STALNA SREDSTVA'!I15</f>
        <v>6203105</v>
      </c>
      <c r="M110" s="34">
        <f>+'[1]STALNA SREDSTVA'!J15</f>
        <v>6203105</v>
      </c>
      <c r="N110" s="34">
        <f>+'[1]STALNA SREDSTVA'!K15</f>
        <v>6203105</v>
      </c>
      <c r="O110" s="34">
        <f>+'[1]STALNA SREDSTVA'!L15</f>
        <v>6203105</v>
      </c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</row>
    <row r="111" spans="1:59" s="32" customFormat="1" outlineLevel="1" x14ac:dyDescent="0.25">
      <c r="A111" s="117" t="s">
        <v>248</v>
      </c>
      <c r="B111" s="118" t="s">
        <v>249</v>
      </c>
      <c r="C111" s="118" t="s">
        <v>250</v>
      </c>
      <c r="D111" s="29"/>
      <c r="E111" s="30">
        <v>85824951</v>
      </c>
      <c r="F111" s="34">
        <f>+'[1]STALNA SREDSTVA'!C22</f>
        <v>69819486.5</v>
      </c>
      <c r="G111" s="34">
        <f>+'[1]STALNA SREDSTVA'!D22</f>
        <v>68357153.395999998</v>
      </c>
      <c r="H111" s="34">
        <f>+'[1]STALNA SREDSTVA'!E22</f>
        <v>66894820.291999996</v>
      </c>
      <c r="I111" s="34">
        <f>+'[1]STALNA SREDSTVA'!F22</f>
        <v>70892487.187999994</v>
      </c>
      <c r="J111" s="34">
        <f>+'[1]STALNA SREDSTVA'!G22</f>
        <v>69331874.083999991</v>
      </c>
      <c r="K111" s="34">
        <f>+'[1]STALNA SREDSTVA'!H22</f>
        <v>67771260.980000004</v>
      </c>
      <c r="L111" s="34">
        <f>+'[1]STALNA SREDSTVA'!I22</f>
        <v>66210647.876000002</v>
      </c>
      <c r="M111" s="34">
        <f>+'[1]STALNA SREDSTVA'!J22</f>
        <v>64650034.772</v>
      </c>
      <c r="N111" s="34">
        <f>+'[1]STALNA SREDSTVA'!K22</f>
        <v>63089421.668000005</v>
      </c>
      <c r="O111" s="34">
        <f>+'[1]STALNA SREDSTVA'!L22</f>
        <v>61528808.56400001</v>
      </c>
    </row>
    <row r="112" spans="1:59" s="32" customFormat="1" outlineLevel="1" x14ac:dyDescent="0.25">
      <c r="A112" s="32" t="s">
        <v>251</v>
      </c>
      <c r="B112" s="118" t="s">
        <v>252</v>
      </c>
      <c r="C112" s="118" t="s">
        <v>253</v>
      </c>
      <c r="D112" s="29"/>
      <c r="E112" s="30">
        <v>666511</v>
      </c>
      <c r="F112" s="34">
        <f>+'[1]STALNA SREDSTVA'!C28</f>
        <v>2283208.7999999998</v>
      </c>
      <c r="G112" s="34">
        <f>+'[1]STALNA SREDSTVA'!D28</f>
        <v>1799906.6</v>
      </c>
      <c r="H112" s="34">
        <f>+'[1]STALNA SREDSTVA'!E28</f>
        <v>2676604.4</v>
      </c>
      <c r="I112" s="34">
        <f>+'[1]STALNA SREDSTVA'!F28</f>
        <v>1853302.1999999997</v>
      </c>
      <c r="J112" s="34">
        <f>+'[1]STALNA SREDSTVA'!G28</f>
        <v>1029999.9999999995</v>
      </c>
      <c r="K112" s="34">
        <f>+'[1]STALNA SREDSTVA'!H28</f>
        <v>206697.79999999935</v>
      </c>
      <c r="L112" s="34">
        <f>+'[1]STALNA SREDSTVA'!I28</f>
        <v>0</v>
      </c>
      <c r="M112" s="34">
        <f>+'[1]STALNA SREDSTVA'!J28</f>
        <v>0</v>
      </c>
      <c r="N112" s="34">
        <f>+'[1]STALNA SREDSTVA'!K28</f>
        <v>0</v>
      </c>
      <c r="O112" s="34">
        <f>+'[1]STALNA SREDSTVA'!L28</f>
        <v>0</v>
      </c>
    </row>
    <row r="113" spans="1:59" s="32" customFormat="1" outlineLevel="1" x14ac:dyDescent="0.25">
      <c r="A113" s="32" t="s">
        <v>254</v>
      </c>
      <c r="B113" s="118" t="s">
        <v>255</v>
      </c>
      <c r="C113" s="118" t="s">
        <v>256</v>
      </c>
      <c r="D113" s="29"/>
      <c r="E113" s="30">
        <v>136363</v>
      </c>
      <c r="F113" s="34">
        <f>+'[1]STALNA SREDSTVA'!C34</f>
        <v>109090.4</v>
      </c>
      <c r="G113" s="34">
        <f>+'[1]STALNA SREDSTVA'!D34</f>
        <v>81817.799999999988</v>
      </c>
      <c r="H113" s="34">
        <f>+'[1]STALNA SREDSTVA'!E34</f>
        <v>1926545.2</v>
      </c>
      <c r="I113" s="34">
        <f>+'[1]STALNA SREDSTVA'!F34</f>
        <v>1431272.5999999999</v>
      </c>
      <c r="J113" s="34">
        <f>+'[1]STALNA SREDSTVA'!G34</f>
        <v>935999.99999999977</v>
      </c>
      <c r="K113" s="34">
        <f>+'[1]STALNA SREDSTVA'!H34</f>
        <v>440727.39999999967</v>
      </c>
      <c r="L113" s="34">
        <f>+'[1]STALNA SREDSTVA'!I34</f>
        <v>0</v>
      </c>
      <c r="M113" s="34">
        <f>+'[1]STALNA SREDSTVA'!J34</f>
        <v>0</v>
      </c>
      <c r="N113" s="34">
        <f>+'[1]STALNA SREDSTVA'!K34</f>
        <v>0</v>
      </c>
      <c r="O113" s="34">
        <f>+'[1]STALNA SREDSTVA'!L34</f>
        <v>0</v>
      </c>
    </row>
    <row r="114" spans="1:59" s="32" customFormat="1" outlineLevel="1" x14ac:dyDescent="0.25">
      <c r="A114" s="32" t="s">
        <v>257</v>
      </c>
      <c r="B114" s="118" t="s">
        <v>258</v>
      </c>
      <c r="C114" s="118" t="s">
        <v>259</v>
      </c>
      <c r="D114" s="29"/>
      <c r="E114" s="30">
        <v>281064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</row>
    <row r="115" spans="1:59" x14ac:dyDescent="0.25">
      <c r="B115" s="113" t="s">
        <v>260</v>
      </c>
      <c r="C115" s="113" t="s">
        <v>261</v>
      </c>
      <c r="D115" s="29"/>
      <c r="E115" s="114">
        <f t="shared" ref="E115:O115" si="62">SUM(E116:E120)</f>
        <v>606000.35</v>
      </c>
      <c r="F115" s="115">
        <f t="shared" si="62"/>
        <v>106000.35</v>
      </c>
      <c r="G115" s="115">
        <f t="shared" si="62"/>
        <v>74452.350000000006</v>
      </c>
      <c r="H115" s="115">
        <f t="shared" si="62"/>
        <v>74452.350000000006</v>
      </c>
      <c r="I115" s="115">
        <f t="shared" si="62"/>
        <v>74452.350000000006</v>
      </c>
      <c r="J115" s="34">
        <f>+'[1]PROMJENE-STALNA SREDSTVA'!H2</f>
        <v>0</v>
      </c>
      <c r="K115" s="115">
        <f t="shared" si="62"/>
        <v>74452.350000000006</v>
      </c>
      <c r="L115" s="115">
        <f t="shared" si="62"/>
        <v>74452.350000000006</v>
      </c>
      <c r="M115" s="115">
        <f t="shared" si="62"/>
        <v>74452.350000000006</v>
      </c>
      <c r="N115" s="115">
        <f t="shared" si="62"/>
        <v>74452.350000000006</v>
      </c>
      <c r="O115" s="115">
        <f t="shared" si="62"/>
        <v>74452.350000000006</v>
      </c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</row>
    <row r="116" spans="1:59" s="32" customFormat="1" outlineLevel="1" x14ac:dyDescent="0.25">
      <c r="A116" s="32" t="s">
        <v>262</v>
      </c>
      <c r="B116" s="118" t="s">
        <v>263</v>
      </c>
      <c r="C116" s="118" t="s">
        <v>264</v>
      </c>
      <c r="D116" s="29"/>
      <c r="E116" s="30">
        <v>74452.350000000006</v>
      </c>
      <c r="F116" s="34">
        <f t="shared" ref="F116:O117" si="63">E116</f>
        <v>74452.350000000006</v>
      </c>
      <c r="G116" s="34">
        <f t="shared" si="63"/>
        <v>74452.350000000006</v>
      </c>
      <c r="H116" s="34">
        <f t="shared" si="63"/>
        <v>74452.350000000006</v>
      </c>
      <c r="I116" s="34">
        <f t="shared" si="63"/>
        <v>74452.350000000006</v>
      </c>
      <c r="J116" s="34">
        <f t="shared" si="63"/>
        <v>74452.350000000006</v>
      </c>
      <c r="K116" s="34">
        <f t="shared" si="63"/>
        <v>74452.350000000006</v>
      </c>
      <c r="L116" s="34">
        <f t="shared" si="63"/>
        <v>74452.350000000006</v>
      </c>
      <c r="M116" s="34">
        <f t="shared" si="63"/>
        <v>74452.350000000006</v>
      </c>
      <c r="N116" s="34">
        <f t="shared" si="63"/>
        <v>74452.350000000006</v>
      </c>
      <c r="O116" s="34">
        <f t="shared" si="63"/>
        <v>74452.350000000006</v>
      </c>
    </row>
    <row r="117" spans="1:59" s="32" customFormat="1" outlineLevel="1" x14ac:dyDescent="0.25">
      <c r="A117" s="32" t="s">
        <v>265</v>
      </c>
      <c r="B117" s="118" t="s">
        <v>266</v>
      </c>
      <c r="C117" s="118" t="s">
        <v>267</v>
      </c>
      <c r="D117" s="29"/>
      <c r="E117" s="30">
        <v>0</v>
      </c>
      <c r="F117" s="34">
        <f t="shared" si="63"/>
        <v>0</v>
      </c>
      <c r="G117" s="34">
        <f t="shared" si="63"/>
        <v>0</v>
      </c>
      <c r="H117" s="34">
        <f t="shared" si="63"/>
        <v>0</v>
      </c>
      <c r="I117" s="34">
        <f t="shared" si="63"/>
        <v>0</v>
      </c>
      <c r="J117" s="34">
        <f t="shared" si="63"/>
        <v>0</v>
      </c>
      <c r="K117" s="34">
        <f t="shared" si="63"/>
        <v>0</v>
      </c>
      <c r="L117" s="34">
        <f t="shared" si="63"/>
        <v>0</v>
      </c>
      <c r="M117" s="34">
        <f t="shared" si="63"/>
        <v>0</v>
      </c>
      <c r="N117" s="34">
        <f t="shared" si="63"/>
        <v>0</v>
      </c>
      <c r="O117" s="34">
        <f t="shared" si="63"/>
        <v>0</v>
      </c>
    </row>
    <row r="118" spans="1:59" s="32" customFormat="1" outlineLevel="1" x14ac:dyDescent="0.25">
      <c r="A118" s="32" t="s">
        <v>268</v>
      </c>
      <c r="B118" s="118" t="s">
        <v>269</v>
      </c>
      <c r="C118" s="118" t="s">
        <v>270</v>
      </c>
      <c r="D118" s="29"/>
      <c r="E118" s="30">
        <v>0</v>
      </c>
      <c r="F118" s="34"/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59" s="32" customFormat="1" outlineLevel="1" x14ac:dyDescent="0.25">
      <c r="A119" s="32" t="s">
        <v>271</v>
      </c>
      <c r="B119" s="118" t="s">
        <v>272</v>
      </c>
      <c r="C119" s="118" t="s">
        <v>273</v>
      </c>
      <c r="D119" s="29"/>
      <c r="E119" s="30">
        <v>531548</v>
      </c>
      <c r="F119" s="34">
        <f>E119-500000</f>
        <v>31548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</row>
    <row r="120" spans="1:59" s="32" customFormat="1" outlineLevel="1" x14ac:dyDescent="0.25">
      <c r="A120" s="32" t="s">
        <v>274</v>
      </c>
      <c r="B120" s="118" t="s">
        <v>275</v>
      </c>
      <c r="C120" s="118" t="s">
        <v>276</v>
      </c>
      <c r="D120" s="29"/>
      <c r="E120" s="30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</row>
    <row r="121" spans="1:59" x14ac:dyDescent="0.25">
      <c r="A121" s="1" t="s">
        <v>277</v>
      </c>
      <c r="B121" s="122" t="s">
        <v>278</v>
      </c>
      <c r="C121" s="113" t="s">
        <v>279</v>
      </c>
      <c r="D121" s="29"/>
      <c r="E121" s="37">
        <v>999989</v>
      </c>
      <c r="F121" s="115">
        <v>6805</v>
      </c>
      <c r="G121" s="115">
        <v>6805</v>
      </c>
      <c r="H121" s="115">
        <v>6805</v>
      </c>
      <c r="I121" s="115">
        <v>6805</v>
      </c>
      <c r="J121" s="115">
        <v>6805</v>
      </c>
      <c r="K121" s="115">
        <v>6805</v>
      </c>
      <c r="L121" s="115">
        <v>6805</v>
      </c>
      <c r="M121" s="115">
        <v>6805</v>
      </c>
      <c r="N121" s="115">
        <v>6805</v>
      </c>
      <c r="O121" s="115">
        <v>6805</v>
      </c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</row>
    <row r="122" spans="1:59" ht="13" x14ac:dyDescent="0.3">
      <c r="B122" s="123" t="s">
        <v>280</v>
      </c>
      <c r="C122" s="123" t="s">
        <v>281</v>
      </c>
      <c r="D122" s="124"/>
      <c r="E122" s="125">
        <f t="shared" ref="E122:O122" si="64">E104+E109+E115+E121</f>
        <v>95013120.349999994</v>
      </c>
      <c r="F122" s="126">
        <f t="shared" si="64"/>
        <v>78605144.849999994</v>
      </c>
      <c r="G122" s="126">
        <f t="shared" si="64"/>
        <v>76523240.145999983</v>
      </c>
      <c r="H122" s="126">
        <f t="shared" si="64"/>
        <v>77782332.241999999</v>
      </c>
      <c r="I122" s="126">
        <f t="shared" si="64"/>
        <v>81261424.337999985</v>
      </c>
      <c r="J122" s="126">
        <f t="shared" si="64"/>
        <v>78107784.083999991</v>
      </c>
      <c r="K122" s="126">
        <f t="shared" si="64"/>
        <v>75103048.530000001</v>
      </c>
      <c r="L122" s="126">
        <f t="shared" si="64"/>
        <v>72695010.225999996</v>
      </c>
      <c r="M122" s="126">
        <f t="shared" si="64"/>
        <v>70934397.121999994</v>
      </c>
      <c r="N122" s="126">
        <f t="shared" si="64"/>
        <v>69373784.018000007</v>
      </c>
      <c r="O122" s="126">
        <f t="shared" si="64"/>
        <v>67813170.914000005</v>
      </c>
    </row>
    <row r="123" spans="1:59" ht="3" customHeight="1" x14ac:dyDescent="0.3">
      <c r="B123" s="127"/>
      <c r="C123" s="127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</row>
    <row r="124" spans="1:59" s="23" customFormat="1" ht="13" x14ac:dyDescent="0.3">
      <c r="B124" s="129" t="s">
        <v>282</v>
      </c>
      <c r="C124" s="129" t="s">
        <v>283</v>
      </c>
      <c r="D124" s="4"/>
      <c r="E124" s="5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</row>
    <row r="125" spans="1:59" x14ac:dyDescent="0.25">
      <c r="B125" s="113" t="s">
        <v>284</v>
      </c>
      <c r="C125" s="113" t="s">
        <v>285</v>
      </c>
      <c r="D125" s="130"/>
      <c r="E125" s="131">
        <f t="shared" ref="E125:M125" si="65">SUM(E126:E132)</f>
        <v>4673792</v>
      </c>
      <c r="F125" s="132">
        <f t="shared" si="65"/>
        <v>3920304.65</v>
      </c>
      <c r="G125" s="132">
        <f t="shared" si="65"/>
        <v>3335707.6965000001</v>
      </c>
      <c r="H125" s="132">
        <f t="shared" si="65"/>
        <v>3351264.7734650001</v>
      </c>
      <c r="I125" s="132">
        <f t="shared" si="65"/>
        <v>3366977.42119965</v>
      </c>
      <c r="J125" s="132">
        <f t="shared" si="65"/>
        <v>3382847.1954116467</v>
      </c>
      <c r="K125" s="132">
        <f t="shared" si="65"/>
        <v>3398875.6673657633</v>
      </c>
      <c r="L125" s="132">
        <f t="shared" si="65"/>
        <v>3415064.4240394207</v>
      </c>
      <c r="M125" s="132">
        <f t="shared" si="65"/>
        <v>3431415.0682798154</v>
      </c>
      <c r="N125" s="132">
        <f t="shared" ref="N125:O125" si="66">SUM(N126:N132)</f>
        <v>3447929.2189626135</v>
      </c>
      <c r="O125" s="132">
        <f t="shared" si="66"/>
        <v>3464608.5111522395</v>
      </c>
    </row>
    <row r="126" spans="1:59" s="32" customFormat="1" outlineLevel="1" x14ac:dyDescent="0.25">
      <c r="A126" s="32" t="s">
        <v>286</v>
      </c>
      <c r="B126" s="118" t="s">
        <v>287</v>
      </c>
      <c r="C126" s="118" t="s">
        <v>288</v>
      </c>
      <c r="D126" s="29"/>
      <c r="E126" s="30">
        <v>2928664</v>
      </c>
      <c r="F126" s="34">
        <v>2000000</v>
      </c>
      <c r="G126" s="34">
        <v>1500000</v>
      </c>
      <c r="H126" s="34">
        <v>1500000</v>
      </c>
      <c r="I126" s="34">
        <v>1500000</v>
      </c>
      <c r="J126" s="34">
        <v>1500000</v>
      </c>
      <c r="K126" s="34">
        <v>1500000</v>
      </c>
      <c r="L126" s="34">
        <v>1500000</v>
      </c>
      <c r="M126" s="34">
        <v>1500000</v>
      </c>
      <c r="N126" s="34">
        <v>1500000</v>
      </c>
      <c r="O126" s="34">
        <v>1500000</v>
      </c>
    </row>
    <row r="127" spans="1:59" s="32" customFormat="1" outlineLevel="1" x14ac:dyDescent="0.25">
      <c r="A127" s="32" t="s">
        <v>289</v>
      </c>
      <c r="B127" s="118" t="s">
        <v>290</v>
      </c>
      <c r="C127" s="118" t="s">
        <v>291</v>
      </c>
      <c r="D127" s="29"/>
      <c r="E127" s="30">
        <v>633965</v>
      </c>
      <c r="F127" s="34">
        <f>+E127*F2</f>
        <v>640304.65</v>
      </c>
      <c r="G127" s="34">
        <f t="shared" ref="G127:O127" si="67">+F127*G1</f>
        <v>646707.69650000008</v>
      </c>
      <c r="H127" s="34">
        <f t="shared" si="67"/>
        <v>653174.77346500009</v>
      </c>
      <c r="I127" s="34">
        <f t="shared" si="67"/>
        <v>659706.52119965013</v>
      </c>
      <c r="J127" s="34">
        <f t="shared" si="67"/>
        <v>666303.58641164668</v>
      </c>
      <c r="K127" s="34">
        <f t="shared" si="67"/>
        <v>672966.62227576319</v>
      </c>
      <c r="L127" s="34">
        <f t="shared" si="67"/>
        <v>679696.28849852085</v>
      </c>
      <c r="M127" s="34">
        <f t="shared" si="67"/>
        <v>686493.25138350611</v>
      </c>
      <c r="N127" s="34">
        <f t="shared" si="67"/>
        <v>693358.18389734114</v>
      </c>
      <c r="O127" s="34">
        <f t="shared" si="67"/>
        <v>700291.76573631458</v>
      </c>
    </row>
    <row r="128" spans="1:59" s="32" customFormat="1" outlineLevel="1" x14ac:dyDescent="0.25">
      <c r="A128" s="32" t="s">
        <v>292</v>
      </c>
      <c r="B128" s="118" t="s">
        <v>293</v>
      </c>
      <c r="C128" s="118" t="s">
        <v>294</v>
      </c>
      <c r="D128" s="29"/>
      <c r="E128" s="30">
        <v>1004648</v>
      </c>
      <c r="F128" s="34">
        <v>900000</v>
      </c>
      <c r="G128" s="34">
        <f>+F128*G1</f>
        <v>909000</v>
      </c>
      <c r="H128" s="34">
        <f t="shared" ref="H128:O128" si="68">+G128*H1</f>
        <v>918090</v>
      </c>
      <c r="I128" s="34">
        <f t="shared" si="68"/>
        <v>927270.9</v>
      </c>
      <c r="J128" s="34">
        <f t="shared" si="68"/>
        <v>936543.60900000005</v>
      </c>
      <c r="K128" s="34">
        <f t="shared" si="68"/>
        <v>945909.04509000003</v>
      </c>
      <c r="L128" s="34">
        <f t="shared" si="68"/>
        <v>955368.13554090005</v>
      </c>
      <c r="M128" s="34">
        <f t="shared" si="68"/>
        <v>964921.81689630903</v>
      </c>
      <c r="N128" s="34">
        <f t="shared" si="68"/>
        <v>974571.03506527212</v>
      </c>
      <c r="O128" s="34">
        <f t="shared" si="68"/>
        <v>984316.74541592482</v>
      </c>
    </row>
    <row r="129" spans="1:15" s="32" customFormat="1" outlineLevel="1" x14ac:dyDescent="0.25">
      <c r="A129" s="32" t="s">
        <v>295</v>
      </c>
      <c r="B129" s="118" t="s">
        <v>296</v>
      </c>
      <c r="C129" s="118" t="s">
        <v>297</v>
      </c>
      <c r="D129" s="29"/>
      <c r="E129" s="30">
        <v>14275</v>
      </c>
      <c r="F129" s="34">
        <v>30000</v>
      </c>
      <c r="G129" s="34">
        <f t="shared" ref="G129:L129" si="69">F129</f>
        <v>30000</v>
      </c>
      <c r="H129" s="34">
        <f t="shared" si="69"/>
        <v>30000</v>
      </c>
      <c r="I129" s="34">
        <f>H129</f>
        <v>30000</v>
      </c>
      <c r="J129" s="34">
        <f t="shared" si="69"/>
        <v>30000</v>
      </c>
      <c r="K129" s="34">
        <f t="shared" si="69"/>
        <v>30000</v>
      </c>
      <c r="L129" s="34">
        <f t="shared" si="69"/>
        <v>30000</v>
      </c>
      <c r="M129" s="34">
        <f>L129</f>
        <v>30000</v>
      </c>
      <c r="N129" s="34">
        <f t="shared" ref="N129:O129" si="70">M129</f>
        <v>30000</v>
      </c>
      <c r="O129" s="34">
        <f t="shared" si="70"/>
        <v>30000</v>
      </c>
    </row>
    <row r="130" spans="1:15" s="32" customFormat="1" outlineLevel="1" x14ac:dyDescent="0.25">
      <c r="A130" s="32" t="s">
        <v>298</v>
      </c>
      <c r="B130" s="118" t="s">
        <v>74</v>
      </c>
      <c r="C130" s="118" t="s">
        <v>299</v>
      </c>
      <c r="D130" s="29"/>
      <c r="E130" s="30">
        <v>0</v>
      </c>
      <c r="F130" s="34">
        <v>150000</v>
      </c>
      <c r="G130" s="34">
        <v>150000</v>
      </c>
      <c r="H130" s="34">
        <v>150000</v>
      </c>
      <c r="I130" s="34">
        <v>150000</v>
      </c>
      <c r="J130" s="34">
        <v>150000</v>
      </c>
      <c r="K130" s="34">
        <v>150000</v>
      </c>
      <c r="L130" s="34">
        <v>150000</v>
      </c>
      <c r="M130" s="34">
        <v>150000</v>
      </c>
      <c r="N130" s="34">
        <v>150000</v>
      </c>
      <c r="O130" s="34">
        <v>150000</v>
      </c>
    </row>
    <row r="131" spans="1:15" s="32" customFormat="1" outlineLevel="1" x14ac:dyDescent="0.25">
      <c r="A131" s="32" t="s">
        <v>300</v>
      </c>
      <c r="B131" s="118" t="s">
        <v>77</v>
      </c>
      <c r="C131" s="118" t="s">
        <v>301</v>
      </c>
      <c r="D131" s="29"/>
      <c r="E131" s="30">
        <v>92240</v>
      </c>
      <c r="F131" s="34">
        <v>200000</v>
      </c>
      <c r="G131" s="34">
        <v>100000</v>
      </c>
      <c r="H131" s="34">
        <v>100000</v>
      </c>
      <c r="I131" s="34">
        <v>100000</v>
      </c>
      <c r="J131" s="34">
        <v>100000</v>
      </c>
      <c r="K131" s="34">
        <v>100000</v>
      </c>
      <c r="L131" s="34">
        <v>100000</v>
      </c>
      <c r="M131" s="34">
        <v>100000</v>
      </c>
      <c r="N131" s="34">
        <v>100000</v>
      </c>
      <c r="O131" s="34">
        <v>100000</v>
      </c>
    </row>
    <row r="132" spans="1:15" s="32" customFormat="1" outlineLevel="1" x14ac:dyDescent="0.25">
      <c r="A132" s="32" t="s">
        <v>302</v>
      </c>
      <c r="B132" s="118" t="s">
        <v>303</v>
      </c>
      <c r="C132" s="118" t="s">
        <v>304</v>
      </c>
      <c r="D132" s="29"/>
      <c r="E132" s="30">
        <v>0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</row>
    <row r="133" spans="1:15" s="23" customFormat="1" outlineLevel="1" x14ac:dyDescent="0.25">
      <c r="B133" s="133" t="s">
        <v>305</v>
      </c>
      <c r="C133" s="133" t="s">
        <v>306</v>
      </c>
      <c r="D133" s="29"/>
      <c r="E133" s="134">
        <f t="shared" ref="E133:O133" si="71">E3/((E32+E25)/E125)</f>
        <v>123.99487856488982</v>
      </c>
      <c r="F133" s="135">
        <f t="shared" si="71"/>
        <v>105.22349270801161</v>
      </c>
      <c r="G133" s="135">
        <f t="shared" si="71"/>
        <v>88.646074558457656</v>
      </c>
      <c r="H133" s="135">
        <f t="shared" si="71"/>
        <v>88.177724961985632</v>
      </c>
      <c r="I133" s="135">
        <f t="shared" si="71"/>
        <v>90.823007451969232</v>
      </c>
      <c r="J133" s="135">
        <f t="shared" si="71"/>
        <v>90.347612787439971</v>
      </c>
      <c r="K133" s="135">
        <f t="shared" si="71"/>
        <v>89.876925000777362</v>
      </c>
      <c r="L133" s="135">
        <f t="shared" si="71"/>
        <v>89.410897489230194</v>
      </c>
      <c r="M133" s="135">
        <f t="shared" si="71"/>
        <v>88.949484111460762</v>
      </c>
      <c r="N133" s="135">
        <f t="shared" si="71"/>
        <v>88.492639182976149</v>
      </c>
      <c r="O133" s="135">
        <f t="shared" si="71"/>
        <v>88.040317471605235</v>
      </c>
    </row>
    <row r="134" spans="1:15" x14ac:dyDescent="0.25">
      <c r="B134" s="113" t="s">
        <v>307</v>
      </c>
      <c r="C134" s="113" t="s">
        <v>308</v>
      </c>
      <c r="D134" s="29"/>
      <c r="E134" s="37">
        <f t="shared" ref="E134:M134" si="72">+SUM(E135:E140)</f>
        <v>1851145</v>
      </c>
      <c r="F134" s="31">
        <f t="shared" si="72"/>
        <v>1805972.08</v>
      </c>
      <c r="G134" s="31">
        <f t="shared" si="72"/>
        <v>1120000</v>
      </c>
      <c r="H134" s="31">
        <f t="shared" si="72"/>
        <v>1120000</v>
      </c>
      <c r="I134" s="31">
        <f t="shared" si="72"/>
        <v>1130000</v>
      </c>
      <c r="J134" s="31">
        <f t="shared" si="72"/>
        <v>1140100</v>
      </c>
      <c r="K134" s="31">
        <f t="shared" si="72"/>
        <v>1150301</v>
      </c>
      <c r="L134" s="31">
        <f t="shared" si="72"/>
        <v>1160604.0099999998</v>
      </c>
      <c r="M134" s="31">
        <f t="shared" si="72"/>
        <v>1171010.0501000006</v>
      </c>
      <c r="N134" s="31">
        <f t="shared" ref="N134:O134" si="73">+SUM(N135:N140)</f>
        <v>1181520.1506009996</v>
      </c>
      <c r="O134" s="31">
        <f t="shared" si="73"/>
        <v>1192135.3521070108</v>
      </c>
    </row>
    <row r="135" spans="1:15" s="32" customFormat="1" outlineLevel="1" x14ac:dyDescent="0.25">
      <c r="A135" s="32" t="s">
        <v>309</v>
      </c>
      <c r="B135" s="136" t="s">
        <v>310</v>
      </c>
      <c r="C135" s="136" t="s">
        <v>311</v>
      </c>
      <c r="D135" s="29"/>
      <c r="E135" s="30">
        <v>17788</v>
      </c>
      <c r="F135" s="34">
        <v>20000</v>
      </c>
      <c r="G135" s="34">
        <v>20000</v>
      </c>
      <c r="H135" s="34">
        <v>20000</v>
      </c>
      <c r="I135" s="34">
        <v>20000</v>
      </c>
      <c r="J135" s="34">
        <v>20000</v>
      </c>
      <c r="K135" s="34">
        <v>20000</v>
      </c>
      <c r="L135" s="34">
        <v>20000</v>
      </c>
      <c r="M135" s="34">
        <v>20000</v>
      </c>
      <c r="N135" s="34">
        <v>20000</v>
      </c>
      <c r="O135" s="34">
        <v>20000</v>
      </c>
    </row>
    <row r="136" spans="1:15" s="32" customFormat="1" outlineLevel="1" x14ac:dyDescent="0.25">
      <c r="A136" s="32" t="s">
        <v>312</v>
      </c>
      <c r="B136" s="136" t="s">
        <v>313</v>
      </c>
      <c r="C136" s="136" t="s">
        <v>314</v>
      </c>
      <c r="D136" s="29"/>
      <c r="E136" s="30">
        <v>1621127</v>
      </c>
      <c r="F136" s="34">
        <f>+E136*F1</f>
        <v>1685972.08</v>
      </c>
      <c r="G136" s="34">
        <v>1000000</v>
      </c>
      <c r="H136" s="34">
        <v>1000000</v>
      </c>
      <c r="I136" s="34">
        <f t="shared" ref="I136:O136" si="74">+H136*I1</f>
        <v>1010000</v>
      </c>
      <c r="J136" s="34">
        <f t="shared" si="74"/>
        <v>1020100</v>
      </c>
      <c r="K136" s="34">
        <f t="shared" si="74"/>
        <v>1030301</v>
      </c>
      <c r="L136" s="34">
        <f t="shared" si="74"/>
        <v>1040604.01</v>
      </c>
      <c r="M136" s="34">
        <f t="shared" si="74"/>
        <v>1051010.0501000001</v>
      </c>
      <c r="N136" s="34">
        <f t="shared" si="74"/>
        <v>1061520.1506010001</v>
      </c>
      <c r="O136" s="34">
        <f t="shared" si="74"/>
        <v>1072135.3521070101</v>
      </c>
    </row>
    <row r="137" spans="1:15" s="32" customFormat="1" outlineLevel="1" x14ac:dyDescent="0.25">
      <c r="A137" s="32" t="s">
        <v>315</v>
      </c>
      <c r="B137" s="136" t="s">
        <v>316</v>
      </c>
      <c r="C137" s="136" t="s">
        <v>317</v>
      </c>
      <c r="D137" s="29"/>
      <c r="E137" s="30">
        <v>212230</v>
      </c>
      <c r="F137" s="34">
        <f t="shared" ref="F137:L137" si="75">100000</f>
        <v>100000</v>
      </c>
      <c r="G137" s="34">
        <f t="shared" si="75"/>
        <v>100000</v>
      </c>
      <c r="H137" s="34">
        <f t="shared" si="75"/>
        <v>100000</v>
      </c>
      <c r="I137" s="34">
        <f t="shared" si="75"/>
        <v>100000</v>
      </c>
      <c r="J137" s="34">
        <f>100000</f>
        <v>100000</v>
      </c>
      <c r="K137" s="34">
        <f t="shared" si="75"/>
        <v>100000</v>
      </c>
      <c r="L137" s="34">
        <f t="shared" si="75"/>
        <v>100000</v>
      </c>
      <c r="M137" s="34">
        <f>100000</f>
        <v>100000</v>
      </c>
      <c r="N137" s="34">
        <f t="shared" ref="N137:O137" si="76">100000</f>
        <v>100000</v>
      </c>
      <c r="O137" s="34">
        <f t="shared" si="76"/>
        <v>100000</v>
      </c>
    </row>
    <row r="138" spans="1:15" s="32" customFormat="1" outlineLevel="1" x14ac:dyDescent="0.25">
      <c r="A138" s="32" t="s">
        <v>318</v>
      </c>
      <c r="B138" s="136" t="s">
        <v>319</v>
      </c>
      <c r="C138" s="136" t="s">
        <v>320</v>
      </c>
      <c r="D138" s="29"/>
      <c r="E138" s="30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</row>
    <row r="139" spans="1:15" s="32" customFormat="1" outlineLevel="1" x14ac:dyDescent="0.25">
      <c r="A139" s="32" t="s">
        <v>321</v>
      </c>
      <c r="B139" s="136" t="s">
        <v>322</v>
      </c>
      <c r="C139" s="136" t="s">
        <v>323</v>
      </c>
      <c r="D139" s="29"/>
      <c r="E139" s="30">
        <v>10180238</v>
      </c>
      <c r="F139" s="34">
        <f t="shared" ref="F139:O140" si="77">E139</f>
        <v>10180238</v>
      </c>
      <c r="G139" s="34">
        <f t="shared" si="77"/>
        <v>10180238</v>
      </c>
      <c r="H139" s="34">
        <f t="shared" si="77"/>
        <v>10180238</v>
      </c>
      <c r="I139" s="34">
        <f t="shared" si="77"/>
        <v>10180238</v>
      </c>
      <c r="J139" s="34">
        <f t="shared" si="77"/>
        <v>10180238</v>
      </c>
      <c r="K139" s="34">
        <f t="shared" si="77"/>
        <v>10180238</v>
      </c>
      <c r="L139" s="34">
        <f t="shared" si="77"/>
        <v>10180238</v>
      </c>
      <c r="M139" s="34">
        <f t="shared" si="77"/>
        <v>10180238</v>
      </c>
      <c r="N139" s="34">
        <f t="shared" si="77"/>
        <v>10180238</v>
      </c>
      <c r="O139" s="34">
        <f t="shared" si="77"/>
        <v>10180238</v>
      </c>
    </row>
    <row r="140" spans="1:15" s="32" customFormat="1" outlineLevel="1" x14ac:dyDescent="0.25">
      <c r="A140" s="32" t="s">
        <v>324</v>
      </c>
      <c r="B140" s="136" t="s">
        <v>325</v>
      </c>
      <c r="C140" s="136" t="s">
        <v>326</v>
      </c>
      <c r="D140" s="29"/>
      <c r="E140" s="30">
        <v>-10180238</v>
      </c>
      <c r="F140" s="34">
        <f t="shared" si="77"/>
        <v>-10180238</v>
      </c>
      <c r="G140" s="34">
        <f t="shared" si="77"/>
        <v>-10180238</v>
      </c>
      <c r="H140" s="34">
        <f t="shared" si="77"/>
        <v>-10180238</v>
      </c>
      <c r="I140" s="34">
        <f t="shared" si="77"/>
        <v>-10180238</v>
      </c>
      <c r="J140" s="34">
        <f t="shared" si="77"/>
        <v>-10180238</v>
      </c>
      <c r="K140" s="34">
        <f t="shared" si="77"/>
        <v>-10180238</v>
      </c>
      <c r="L140" s="34">
        <f t="shared" si="77"/>
        <v>-10180238</v>
      </c>
      <c r="M140" s="34">
        <f t="shared" si="77"/>
        <v>-10180238</v>
      </c>
      <c r="N140" s="34">
        <f t="shared" si="77"/>
        <v>-10180238</v>
      </c>
      <c r="O140" s="34">
        <f t="shared" si="77"/>
        <v>-10180238</v>
      </c>
    </row>
    <row r="141" spans="1:15" s="23" customFormat="1" outlineLevel="1" x14ac:dyDescent="0.25">
      <c r="B141" s="133" t="s">
        <v>327</v>
      </c>
      <c r="C141" s="133" t="s">
        <v>328</v>
      </c>
      <c r="D141" s="29"/>
      <c r="E141" s="137">
        <f t="shared" ref="E141:O141" si="78">E3/(E23/E134)</f>
        <v>23.204704743804577</v>
      </c>
      <c r="F141" s="135">
        <f t="shared" si="78"/>
        <v>21.472137711289133</v>
      </c>
      <c r="G141" s="135">
        <f t="shared" si="78"/>
        <v>13.181227788369569</v>
      </c>
      <c r="H141" s="135">
        <f t="shared" si="78"/>
        <v>13.03871051367161</v>
      </c>
      <c r="I141" s="135">
        <f t="shared" si="78"/>
        <v>13.021543091215491</v>
      </c>
      <c r="J141" s="135">
        <f t="shared" si="78"/>
        <v>13.004422438365264</v>
      </c>
      <c r="K141" s="135">
        <f t="shared" si="78"/>
        <v>12.987344620873849</v>
      </c>
      <c r="L141" s="135">
        <f t="shared" si="78"/>
        <v>12.970305648567066</v>
      </c>
      <c r="M141" s="135">
        <f t="shared" si="78"/>
        <v>12.953301473501977</v>
      </c>
      <c r="N141" s="135">
        <f t="shared" si="78"/>
        <v>12.936327988095277</v>
      </c>
      <c r="O141" s="135">
        <f t="shared" si="78"/>
        <v>12.919381023222201</v>
      </c>
    </row>
    <row r="142" spans="1:15" x14ac:dyDescent="0.25">
      <c r="A142" s="36" t="s">
        <v>329</v>
      </c>
      <c r="B142" s="113" t="s">
        <v>330</v>
      </c>
      <c r="C142" s="113" t="s">
        <v>331</v>
      </c>
      <c r="D142" s="29"/>
      <c r="E142" s="37">
        <v>17857</v>
      </c>
      <c r="F142" s="31">
        <v>10000</v>
      </c>
      <c r="G142" s="31">
        <v>10000</v>
      </c>
      <c r="H142" s="31">
        <v>10000</v>
      </c>
      <c r="I142" s="31">
        <v>10000</v>
      </c>
      <c r="J142" s="31">
        <v>10000</v>
      </c>
      <c r="K142" s="31">
        <v>10000</v>
      </c>
      <c r="L142" s="31">
        <v>10000</v>
      </c>
      <c r="M142" s="31">
        <v>10000</v>
      </c>
      <c r="N142" s="31">
        <v>10000</v>
      </c>
      <c r="O142" s="31">
        <v>10000</v>
      </c>
    </row>
    <row r="143" spans="1:15" x14ac:dyDescent="0.25">
      <c r="B143" s="113" t="s">
        <v>332</v>
      </c>
      <c r="C143" s="113" t="s">
        <v>333</v>
      </c>
      <c r="D143" s="29"/>
      <c r="E143" s="37">
        <f>SUM(E144:E150)</f>
        <v>287992.82000000007</v>
      </c>
      <c r="F143" s="31">
        <f t="shared" ref="F143:O143" si="79">SUM(F144:F150)</f>
        <v>150000</v>
      </c>
      <c r="G143" s="31">
        <f t="shared" si="79"/>
        <v>0</v>
      </c>
      <c r="H143" s="31">
        <f t="shared" si="79"/>
        <v>0</v>
      </c>
      <c r="I143" s="31">
        <f t="shared" si="79"/>
        <v>0</v>
      </c>
      <c r="J143" s="31">
        <f t="shared" si="79"/>
        <v>0</v>
      </c>
      <c r="K143" s="31">
        <f t="shared" si="79"/>
        <v>0</v>
      </c>
      <c r="L143" s="31">
        <f t="shared" si="79"/>
        <v>0</v>
      </c>
      <c r="M143" s="31">
        <f t="shared" si="79"/>
        <v>0</v>
      </c>
      <c r="N143" s="31">
        <f t="shared" si="79"/>
        <v>0</v>
      </c>
      <c r="O143" s="31">
        <f t="shared" si="79"/>
        <v>0</v>
      </c>
    </row>
    <row r="144" spans="1:15" s="32" customFormat="1" outlineLevel="1" x14ac:dyDescent="0.25">
      <c r="A144" s="32" t="s">
        <v>334</v>
      </c>
      <c r="B144" s="138" t="s">
        <v>335</v>
      </c>
      <c r="C144" s="138" t="s">
        <v>336</v>
      </c>
      <c r="D144" s="29"/>
      <c r="E144" s="30">
        <v>10997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s="32" customFormat="1" outlineLevel="1" x14ac:dyDescent="0.25">
      <c r="A145" s="32" t="s">
        <v>337</v>
      </c>
      <c r="B145" s="138" t="s">
        <v>338</v>
      </c>
      <c r="C145" s="138" t="s">
        <v>339</v>
      </c>
      <c r="D145" s="29"/>
      <c r="E145" s="30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</row>
    <row r="146" spans="1:15" s="32" customFormat="1" outlineLevel="1" x14ac:dyDescent="0.25">
      <c r="A146" s="32" t="s">
        <v>340</v>
      </c>
      <c r="B146" s="138" t="s">
        <v>341</v>
      </c>
      <c r="C146" s="138" t="s">
        <v>342</v>
      </c>
      <c r="D146" s="29"/>
      <c r="E146" s="30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</row>
    <row r="147" spans="1:15" s="32" customFormat="1" outlineLevel="1" x14ac:dyDescent="0.25">
      <c r="A147" s="32" t="s">
        <v>343</v>
      </c>
      <c r="B147" s="138" t="s">
        <v>344</v>
      </c>
      <c r="C147" s="138" t="s">
        <v>345</v>
      </c>
      <c r="D147" s="29"/>
      <c r="E147" s="30">
        <v>-0.18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</row>
    <row r="148" spans="1:15" s="32" customFormat="1" outlineLevel="1" x14ac:dyDescent="0.25">
      <c r="A148" s="32" t="s">
        <v>346</v>
      </c>
      <c r="B148" s="138" t="s">
        <v>347</v>
      </c>
      <c r="C148" s="138" t="s">
        <v>348</v>
      </c>
      <c r="D148" s="29"/>
      <c r="E148" s="30">
        <v>276996</v>
      </c>
      <c r="F148" s="34">
        <v>150000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</row>
    <row r="149" spans="1:15" s="32" customFormat="1" outlineLevel="1" x14ac:dyDescent="0.25">
      <c r="A149" s="32" t="s">
        <v>349</v>
      </c>
      <c r="B149" s="138" t="s">
        <v>350</v>
      </c>
      <c r="C149" s="138" t="s">
        <v>351</v>
      </c>
      <c r="D149" s="29"/>
      <c r="E149" s="30">
        <v>1736237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</row>
    <row r="150" spans="1:15" s="32" customFormat="1" outlineLevel="1" x14ac:dyDescent="0.25">
      <c r="A150" s="32" t="s">
        <v>352</v>
      </c>
      <c r="B150" s="138" t="s">
        <v>353</v>
      </c>
      <c r="C150" s="138" t="s">
        <v>354</v>
      </c>
      <c r="D150" s="29"/>
      <c r="E150" s="30">
        <v>-1736237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</row>
    <row r="151" spans="1:15" x14ac:dyDescent="0.25">
      <c r="B151" s="139" t="s">
        <v>355</v>
      </c>
      <c r="C151" s="139" t="s">
        <v>356</v>
      </c>
      <c r="D151" s="29"/>
      <c r="E151" s="114">
        <f t="shared" ref="E151:O151" si="80">SUM(E152:E154)</f>
        <v>730000</v>
      </c>
      <c r="F151" s="115">
        <f t="shared" si="80"/>
        <v>0</v>
      </c>
      <c r="G151" s="115">
        <f t="shared" si="80"/>
        <v>0</v>
      </c>
      <c r="H151" s="115">
        <f t="shared" si="80"/>
        <v>0</v>
      </c>
      <c r="I151" s="115">
        <f t="shared" si="80"/>
        <v>0</v>
      </c>
      <c r="J151" s="115">
        <f t="shared" si="80"/>
        <v>0</v>
      </c>
      <c r="K151" s="115">
        <f t="shared" si="80"/>
        <v>0</v>
      </c>
      <c r="L151" s="115">
        <f t="shared" si="80"/>
        <v>0</v>
      </c>
      <c r="M151" s="115">
        <f t="shared" si="80"/>
        <v>0</v>
      </c>
      <c r="N151" s="115">
        <f t="shared" si="80"/>
        <v>0</v>
      </c>
      <c r="O151" s="115">
        <f t="shared" si="80"/>
        <v>0</v>
      </c>
    </row>
    <row r="152" spans="1:15" s="32" customFormat="1" outlineLevel="1" x14ac:dyDescent="0.25">
      <c r="A152" s="32" t="s">
        <v>357</v>
      </c>
      <c r="B152" s="138" t="s">
        <v>358</v>
      </c>
      <c r="C152" s="138" t="s">
        <v>359</v>
      </c>
      <c r="D152" s="29"/>
      <c r="E152" s="30">
        <v>0</v>
      </c>
      <c r="F152" s="34">
        <f t="shared" ref="F152:L152" si="81">E152</f>
        <v>0</v>
      </c>
      <c r="G152" s="34">
        <f t="shared" si="81"/>
        <v>0</v>
      </c>
      <c r="H152" s="34">
        <f t="shared" si="81"/>
        <v>0</v>
      </c>
      <c r="I152" s="34">
        <f t="shared" si="81"/>
        <v>0</v>
      </c>
      <c r="J152" s="34">
        <f>I152</f>
        <v>0</v>
      </c>
      <c r="K152" s="34">
        <f t="shared" si="81"/>
        <v>0</v>
      </c>
      <c r="L152" s="34">
        <f t="shared" si="81"/>
        <v>0</v>
      </c>
      <c r="M152" s="34">
        <f>L152</f>
        <v>0</v>
      </c>
      <c r="N152" s="34">
        <f t="shared" ref="N152:O152" si="82">M152</f>
        <v>0</v>
      </c>
      <c r="O152" s="34">
        <f t="shared" si="82"/>
        <v>0</v>
      </c>
    </row>
    <row r="153" spans="1:15" s="32" customFormat="1" outlineLevel="1" x14ac:dyDescent="0.25">
      <c r="A153" s="32" t="s">
        <v>360</v>
      </c>
      <c r="B153" s="138" t="s">
        <v>361</v>
      </c>
      <c r="C153" s="138" t="s">
        <v>362</v>
      </c>
      <c r="D153" s="29"/>
      <c r="E153" s="30">
        <v>730000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</row>
    <row r="154" spans="1:15" s="32" customFormat="1" outlineLevel="1" x14ac:dyDescent="0.25">
      <c r="A154" s="32" t="s">
        <v>363</v>
      </c>
      <c r="B154" s="138" t="s">
        <v>364</v>
      </c>
      <c r="C154" s="138" t="s">
        <v>365</v>
      </c>
      <c r="D154" s="29"/>
      <c r="E154" s="30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</row>
    <row r="155" spans="1:15" x14ac:dyDescent="0.25">
      <c r="B155" s="139" t="s">
        <v>366</v>
      </c>
      <c r="C155" s="139" t="s">
        <v>367</v>
      </c>
      <c r="D155" s="29"/>
      <c r="E155" s="114">
        <f>SUM(E156:E160)</f>
        <v>241333</v>
      </c>
      <c r="F155" s="115">
        <f t="shared" ref="F155:O155" si="83">SUM(F156:F160)</f>
        <v>23411958.53920728</v>
      </c>
      <c r="G155" s="115">
        <f t="shared" si="83"/>
        <v>6047093.5992467105</v>
      </c>
      <c r="H155" s="115">
        <f t="shared" si="83"/>
        <v>7096129.767125641</v>
      </c>
      <c r="I155" s="115">
        <f t="shared" si="83"/>
        <v>6402580.3557594707</v>
      </c>
      <c r="J155" s="115">
        <f t="shared" si="83"/>
        <v>12620617.678231288</v>
      </c>
      <c r="K155" s="115">
        <f t="shared" si="83"/>
        <v>4756073.9949286859</v>
      </c>
      <c r="L155" s="115">
        <f t="shared" si="83"/>
        <v>10926970.391203444</v>
      </c>
      <c r="M155" s="115">
        <f t="shared" si="83"/>
        <v>18146201.119074874</v>
      </c>
      <c r="N155" s="115">
        <f t="shared" si="83"/>
        <v>25460077.841827665</v>
      </c>
      <c r="O155" s="115">
        <f t="shared" si="83"/>
        <v>32890198.401878282</v>
      </c>
    </row>
    <row r="156" spans="1:15" s="32" customFormat="1" outlineLevel="1" x14ac:dyDescent="0.25">
      <c r="A156" s="32" t="s">
        <v>368</v>
      </c>
      <c r="B156" s="138" t="s">
        <v>369</v>
      </c>
      <c r="C156" s="138" t="s">
        <v>370</v>
      </c>
      <c r="D156" s="29"/>
      <c r="E156" s="30">
        <v>241333</v>
      </c>
      <c r="F156" s="34">
        <f t="shared" ref="F156:O156" si="84">F234</f>
        <v>23411958.53920728</v>
      </c>
      <c r="G156" s="34">
        <f t="shared" si="84"/>
        <v>6047093.5992467105</v>
      </c>
      <c r="H156" s="34">
        <f t="shared" si="84"/>
        <v>7096129.767125641</v>
      </c>
      <c r="I156" s="34">
        <f t="shared" si="84"/>
        <v>6402580.3557594707</v>
      </c>
      <c r="J156" s="34">
        <f t="shared" si="84"/>
        <v>12620617.678231288</v>
      </c>
      <c r="K156" s="34">
        <f t="shared" si="84"/>
        <v>4756073.9949286859</v>
      </c>
      <c r="L156" s="34">
        <f t="shared" si="84"/>
        <v>10926970.391203444</v>
      </c>
      <c r="M156" s="34">
        <f t="shared" si="84"/>
        <v>18146201.119074874</v>
      </c>
      <c r="N156" s="34">
        <f t="shared" si="84"/>
        <v>25460077.841827665</v>
      </c>
      <c r="O156" s="34">
        <f t="shared" si="84"/>
        <v>32890198.401878282</v>
      </c>
    </row>
    <row r="157" spans="1:15" s="32" customFormat="1" outlineLevel="1" x14ac:dyDescent="0.25">
      <c r="A157" s="32" t="s">
        <v>371</v>
      </c>
      <c r="B157" s="138" t="s">
        <v>372</v>
      </c>
      <c r="C157" s="138" t="s">
        <v>373</v>
      </c>
      <c r="D157" s="29"/>
      <c r="E157" s="30">
        <v>0</v>
      </c>
      <c r="F157" s="34"/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 s="32" customFormat="1" outlineLevel="1" x14ac:dyDescent="0.25">
      <c r="A158" s="32" t="s">
        <v>374</v>
      </c>
      <c r="B158" s="138" t="s">
        <v>375</v>
      </c>
      <c r="C158" s="138" t="s">
        <v>376</v>
      </c>
      <c r="D158" s="29"/>
      <c r="E158" s="30">
        <v>0</v>
      </c>
      <c r="F158" s="34"/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15" s="32" customFormat="1" outlineLevel="1" x14ac:dyDescent="0.25">
      <c r="A159" s="32" t="s">
        <v>377</v>
      </c>
      <c r="B159" s="138" t="s">
        <v>378</v>
      </c>
      <c r="C159" s="138" t="s">
        <v>379</v>
      </c>
      <c r="D159" s="29"/>
      <c r="E159" s="30">
        <v>0</v>
      </c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 s="32" customFormat="1" outlineLevel="1" x14ac:dyDescent="0.25">
      <c r="A160" s="32" t="s">
        <v>380</v>
      </c>
      <c r="B160" s="138" t="s">
        <v>381</v>
      </c>
      <c r="C160" s="138" t="s">
        <v>382</v>
      </c>
      <c r="D160" s="29"/>
      <c r="E160" s="30">
        <v>0</v>
      </c>
      <c r="F160" s="34"/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 ht="13" x14ac:dyDescent="0.3">
      <c r="B161" s="140" t="s">
        <v>383</v>
      </c>
      <c r="C161" s="140" t="s">
        <v>384</v>
      </c>
      <c r="D161" s="124"/>
      <c r="E161" s="125">
        <f t="shared" ref="E161:O161" si="85">E134+E142+E143+E151+E155+E125</f>
        <v>7802119.8200000003</v>
      </c>
      <c r="F161" s="126">
        <f t="shared" si="85"/>
        <v>29298235.269207276</v>
      </c>
      <c r="G161" s="126">
        <f t="shared" si="85"/>
        <v>10512801.29574671</v>
      </c>
      <c r="H161" s="126">
        <f t="shared" si="85"/>
        <v>11577394.54059064</v>
      </c>
      <c r="I161" s="126">
        <f t="shared" si="85"/>
        <v>10909557.776959121</v>
      </c>
      <c r="J161" s="126">
        <f t="shared" si="85"/>
        <v>17153564.873642936</v>
      </c>
      <c r="K161" s="126">
        <f t="shared" si="85"/>
        <v>9315250.6622944493</v>
      </c>
      <c r="L161" s="126">
        <f t="shared" si="85"/>
        <v>15512638.825242866</v>
      </c>
      <c r="M161" s="126">
        <f t="shared" si="85"/>
        <v>22758626.237454686</v>
      </c>
      <c r="N161" s="126">
        <f t="shared" si="85"/>
        <v>30099527.211391278</v>
      </c>
      <c r="O161" s="126">
        <f t="shared" si="85"/>
        <v>37556942.265137531</v>
      </c>
    </row>
    <row r="162" spans="1:15" x14ac:dyDescent="0.25">
      <c r="A162" s="36" t="s">
        <v>385</v>
      </c>
      <c r="B162" s="141" t="s">
        <v>278</v>
      </c>
      <c r="C162" s="141" t="s">
        <v>386</v>
      </c>
      <c r="D162" s="29"/>
      <c r="E162" s="37">
        <v>7096533</v>
      </c>
      <c r="F162" s="34">
        <v>30000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</row>
    <row r="163" spans="1:15" ht="13.5" thickBot="1" x14ac:dyDescent="0.3">
      <c r="B163" s="142" t="s">
        <v>387</v>
      </c>
      <c r="C163" s="142" t="s">
        <v>388</v>
      </c>
      <c r="D163" s="39"/>
      <c r="E163" s="143">
        <f t="shared" ref="E163:O163" si="86">E162+E161+E122</f>
        <v>109911773.16999999</v>
      </c>
      <c r="F163" s="144">
        <f t="shared" si="86"/>
        <v>107933380.11920726</v>
      </c>
      <c r="G163" s="144">
        <f t="shared" si="86"/>
        <v>87036041.441746697</v>
      </c>
      <c r="H163" s="144">
        <f>H162+H161+H122</f>
        <v>89359726.782590643</v>
      </c>
      <c r="I163" s="144">
        <f t="shared" si="86"/>
        <v>92170982.114959106</v>
      </c>
      <c r="J163" s="144">
        <f t="shared" si="86"/>
        <v>95261348.957642928</v>
      </c>
      <c r="K163" s="144">
        <f t="shared" si="86"/>
        <v>84418299.192294449</v>
      </c>
      <c r="L163" s="144">
        <f t="shared" si="86"/>
        <v>88207649.051242858</v>
      </c>
      <c r="M163" s="144">
        <f t="shared" si="86"/>
        <v>93693023.359454677</v>
      </c>
      <c r="N163" s="144">
        <f t="shared" si="86"/>
        <v>99473311.229391277</v>
      </c>
      <c r="O163" s="144">
        <f t="shared" si="86"/>
        <v>105370113.17913753</v>
      </c>
    </row>
    <row r="164" spans="1:15" ht="3" customHeight="1" x14ac:dyDescent="0.25">
      <c r="B164" s="145"/>
      <c r="C164" s="145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</row>
    <row r="165" spans="1:15" s="23" customFormat="1" ht="13" x14ac:dyDescent="0.3">
      <c r="B165" s="146" t="s">
        <v>389</v>
      </c>
      <c r="C165" s="146" t="s">
        <v>390</v>
      </c>
      <c r="D165" s="4"/>
      <c r="E165" s="5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</row>
    <row r="166" spans="1:15" x14ac:dyDescent="0.25">
      <c r="A166" s="36" t="s">
        <v>391</v>
      </c>
      <c r="B166" s="113" t="s">
        <v>392</v>
      </c>
      <c r="C166" s="113" t="s">
        <v>393</v>
      </c>
      <c r="D166" s="29"/>
      <c r="E166" s="37">
        <v>60141665</v>
      </c>
      <c r="F166" s="31">
        <v>60141665</v>
      </c>
      <c r="G166" s="31">
        <v>60141665</v>
      </c>
      <c r="H166" s="31">
        <v>60141665</v>
      </c>
      <c r="I166" s="31">
        <v>60141665</v>
      </c>
      <c r="J166" s="31">
        <v>60141665</v>
      </c>
      <c r="K166" s="31">
        <v>60141665</v>
      </c>
      <c r="L166" s="31">
        <v>60141665</v>
      </c>
      <c r="M166" s="31">
        <v>60141665</v>
      </c>
      <c r="N166" s="31">
        <v>60141665</v>
      </c>
      <c r="O166" s="31">
        <v>60141665</v>
      </c>
    </row>
    <row r="167" spans="1:15" x14ac:dyDescent="0.25">
      <c r="A167" s="36" t="s">
        <v>394</v>
      </c>
      <c r="B167" s="113" t="s">
        <v>395</v>
      </c>
      <c r="C167" s="113" t="s">
        <v>396</v>
      </c>
      <c r="D167" s="29"/>
      <c r="E167" s="37">
        <v>13032552.27</v>
      </c>
      <c r="F167" s="31">
        <f>E167</f>
        <v>13032552.27</v>
      </c>
      <c r="G167" s="31">
        <f t="shared" ref="G167:L167" si="87">F167</f>
        <v>13032552.27</v>
      </c>
      <c r="H167" s="31">
        <f t="shared" si="87"/>
        <v>13032552.27</v>
      </c>
      <c r="I167" s="31">
        <f t="shared" si="87"/>
        <v>13032552.27</v>
      </c>
      <c r="J167" s="31">
        <f t="shared" si="87"/>
        <v>13032552.27</v>
      </c>
      <c r="K167" s="31">
        <f>J167</f>
        <v>13032552.27</v>
      </c>
      <c r="L167" s="31">
        <f t="shared" si="87"/>
        <v>13032552.27</v>
      </c>
      <c r="M167" s="31">
        <f>L167</f>
        <v>13032552.27</v>
      </c>
      <c r="N167" s="31">
        <f t="shared" ref="N167:O168" si="88">M167</f>
        <v>13032552.27</v>
      </c>
      <c r="O167" s="31">
        <f t="shared" si="88"/>
        <v>13032552.27</v>
      </c>
    </row>
    <row r="168" spans="1:15" x14ac:dyDescent="0.25">
      <c r="A168" s="36" t="s">
        <v>397</v>
      </c>
      <c r="B168" s="113" t="s">
        <v>398</v>
      </c>
      <c r="C168" s="113" t="s">
        <v>399</v>
      </c>
      <c r="D168" s="29"/>
      <c r="E168" s="37">
        <v>66514693</v>
      </c>
      <c r="F168" s="31">
        <f t="shared" ref="F168:L168" si="89">E168</f>
        <v>66514693</v>
      </c>
      <c r="G168" s="31">
        <f t="shared" si="89"/>
        <v>66514693</v>
      </c>
      <c r="H168" s="31">
        <f t="shared" si="89"/>
        <v>66514693</v>
      </c>
      <c r="I168" s="31">
        <f>H168</f>
        <v>66514693</v>
      </c>
      <c r="J168" s="31">
        <f t="shared" si="89"/>
        <v>66514693</v>
      </c>
      <c r="K168" s="31">
        <f>J168</f>
        <v>66514693</v>
      </c>
      <c r="L168" s="31">
        <f t="shared" si="89"/>
        <v>66514693</v>
      </c>
      <c r="M168" s="31">
        <f>L168</f>
        <v>66514693</v>
      </c>
      <c r="N168" s="31">
        <f t="shared" si="88"/>
        <v>66514693</v>
      </c>
      <c r="O168" s="31">
        <f t="shared" si="88"/>
        <v>66514693</v>
      </c>
    </row>
    <row r="169" spans="1:15" ht="16" x14ac:dyDescent="0.45">
      <c r="A169" s="147" t="s">
        <v>400</v>
      </c>
      <c r="B169" s="148" t="s">
        <v>401</v>
      </c>
      <c r="C169" s="113" t="s">
        <v>402</v>
      </c>
      <c r="D169" s="29"/>
      <c r="E169" s="37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  <c r="O169" s="31">
        <v>0</v>
      </c>
    </row>
    <row r="170" spans="1:15" x14ac:dyDescent="0.25">
      <c r="A170" s="36" t="s">
        <v>403</v>
      </c>
      <c r="B170" s="113" t="s">
        <v>404</v>
      </c>
      <c r="C170" s="113" t="s">
        <v>405</v>
      </c>
      <c r="D170" s="29"/>
      <c r="E170" s="37">
        <v>-78141747</v>
      </c>
      <c r="F170" s="31">
        <f>E170+E171</f>
        <v>-78094180.120000005</v>
      </c>
      <c r="G170" s="31">
        <f t="shared" ref="G170:O170" si="90">F170+F171</f>
        <v>-74914938.199259385</v>
      </c>
      <c r="H170" s="31">
        <f t="shared" si="90"/>
        <v>-74144254.671300635</v>
      </c>
      <c r="I170" s="31">
        <f t="shared" si="90"/>
        <v>-71442078.347099006</v>
      </c>
      <c r="J170" s="31">
        <f t="shared" si="90"/>
        <v>-68384814.003323749</v>
      </c>
      <c r="K170" s="31">
        <f t="shared" si="90"/>
        <v>-65305899.840978928</v>
      </c>
      <c r="L170" s="31">
        <f t="shared" si="90"/>
        <v>-61160521.528580025</v>
      </c>
      <c r="M170" s="31">
        <f t="shared" si="90"/>
        <v>-56382864.214821428</v>
      </c>
      <c r="N170" s="31">
        <f t="shared" si="90"/>
        <v>-50909303.507114559</v>
      </c>
      <c r="O170" s="31">
        <f t="shared" si="90"/>
        <v>-45140952.687245734</v>
      </c>
    </row>
    <row r="171" spans="1:15" x14ac:dyDescent="0.25">
      <c r="A171" s="36" t="s">
        <v>406</v>
      </c>
      <c r="B171" s="122" t="s">
        <v>407</v>
      </c>
      <c r="C171" s="122" t="s">
        <v>408</v>
      </c>
      <c r="D171" s="149"/>
      <c r="E171" s="150">
        <f t="shared" ref="E171:O171" si="91">E95</f>
        <v>47566.879999998957</v>
      </c>
      <c r="F171" s="151">
        <f t="shared" si="91"/>
        <v>3179241.920740617</v>
      </c>
      <c r="G171" s="151">
        <f t="shared" si="91"/>
        <v>770683.52795875003</v>
      </c>
      <c r="H171" s="151">
        <f t="shared" si="91"/>
        <v>2702176.3242016332</v>
      </c>
      <c r="I171" s="151">
        <f t="shared" si="91"/>
        <v>3057264.3437752561</v>
      </c>
      <c r="J171" s="151">
        <f t="shared" si="91"/>
        <v>3078914.162344818</v>
      </c>
      <c r="K171" s="151">
        <f t="shared" si="91"/>
        <v>4145378.3123988993</v>
      </c>
      <c r="L171" s="151">
        <f t="shared" si="91"/>
        <v>4777657.3137585968</v>
      </c>
      <c r="M171" s="151">
        <f t="shared" si="91"/>
        <v>5473560.7077068686</v>
      </c>
      <c r="N171" s="151">
        <f t="shared" si="91"/>
        <v>5768350.8198688235</v>
      </c>
      <c r="O171" s="151">
        <f t="shared" si="91"/>
        <v>5884740.0034657158</v>
      </c>
    </row>
    <row r="172" spans="1:15" ht="13" x14ac:dyDescent="0.3">
      <c r="B172" s="152" t="s">
        <v>409</v>
      </c>
      <c r="C172" s="152" t="s">
        <v>410</v>
      </c>
      <c r="D172" s="124"/>
      <c r="E172" s="153">
        <f t="shared" ref="E172" si="92">SUM(E166:E171)</f>
        <v>61594730.149999976</v>
      </c>
      <c r="F172" s="154">
        <f>SUM(F166:F171)</f>
        <v>64773972.070740595</v>
      </c>
      <c r="G172" s="154">
        <f t="shared" ref="G172:O172" si="93">SUM(G166:G171)</f>
        <v>65544655.598699346</v>
      </c>
      <c r="H172" s="154">
        <f t="shared" si="93"/>
        <v>68246831.922900975</v>
      </c>
      <c r="I172" s="154">
        <f t="shared" si="93"/>
        <v>71304096.266676232</v>
      </c>
      <c r="J172" s="154">
        <f t="shared" si="93"/>
        <v>74383010.429021046</v>
      </c>
      <c r="K172" s="154">
        <f t="shared" si="93"/>
        <v>78528388.741419956</v>
      </c>
      <c r="L172" s="154">
        <f t="shared" si="93"/>
        <v>83306046.055178553</v>
      </c>
      <c r="M172" s="154">
        <f t="shared" si="93"/>
        <v>88779606.762885422</v>
      </c>
      <c r="N172" s="154">
        <f t="shared" si="93"/>
        <v>94547957.582754239</v>
      </c>
      <c r="O172" s="154">
        <f t="shared" si="93"/>
        <v>100432697.58621997</v>
      </c>
    </row>
    <row r="173" spans="1:15" ht="3" customHeight="1" x14ac:dyDescent="0.3">
      <c r="B173" s="155"/>
      <c r="C173" s="155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</row>
    <row r="174" spans="1:15" s="23" customFormat="1" ht="13" x14ac:dyDescent="0.3">
      <c r="B174" s="146" t="s">
        <v>411</v>
      </c>
      <c r="C174" s="146" t="s">
        <v>412</v>
      </c>
      <c r="D174" s="156"/>
      <c r="E174" s="157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</row>
    <row r="175" spans="1:15" x14ac:dyDescent="0.25">
      <c r="A175" s="36" t="s">
        <v>413</v>
      </c>
      <c r="B175" s="159" t="s">
        <v>414</v>
      </c>
      <c r="C175" s="159" t="s">
        <v>415</v>
      </c>
      <c r="D175" s="29"/>
      <c r="E175" s="37">
        <v>0</v>
      </c>
      <c r="F175" s="31">
        <f t="shared" ref="F175:O175" si="94">E175</f>
        <v>0</v>
      </c>
      <c r="G175" s="31">
        <f t="shared" si="94"/>
        <v>0</v>
      </c>
      <c r="H175" s="31">
        <f t="shared" si="94"/>
        <v>0</v>
      </c>
      <c r="I175" s="31">
        <f t="shared" si="94"/>
        <v>0</v>
      </c>
      <c r="J175" s="31">
        <f t="shared" si="94"/>
        <v>0</v>
      </c>
      <c r="K175" s="31">
        <f t="shared" si="94"/>
        <v>0</v>
      </c>
      <c r="L175" s="31">
        <f t="shared" si="94"/>
        <v>0</v>
      </c>
      <c r="M175" s="31">
        <f t="shared" si="94"/>
        <v>0</v>
      </c>
      <c r="N175" s="31">
        <f t="shared" si="94"/>
        <v>0</v>
      </c>
      <c r="O175" s="31">
        <f t="shared" si="94"/>
        <v>0</v>
      </c>
    </row>
    <row r="176" spans="1:15" x14ac:dyDescent="0.25">
      <c r="A176" s="36" t="s">
        <v>416</v>
      </c>
      <c r="B176" s="159" t="s">
        <v>417</v>
      </c>
      <c r="C176" s="159" t="s">
        <v>418</v>
      </c>
      <c r="D176" s="29"/>
      <c r="E176" s="37">
        <v>2785867</v>
      </c>
      <c r="F176" s="31">
        <f>+'[1]Krediti Banaka'!C34</f>
        <v>35943594.289999999</v>
      </c>
      <c r="G176" s="31">
        <f>+'[1]Krediti Banaka'!D34</f>
        <v>15600469.050000001</v>
      </c>
      <c r="H176" s="31">
        <f>+'[1]Krediti Banaka'!E34</f>
        <v>15257343.810000001</v>
      </c>
      <c r="I176" s="31">
        <f>+'[1]Krediti Banaka'!F34</f>
        <v>15000000</v>
      </c>
      <c r="J176" s="31">
        <f>+'[1]Krediti Banaka'!G34</f>
        <v>15000000</v>
      </c>
      <c r="K176" s="31">
        <f>+'[1]Krediti Banaka'!H34</f>
        <v>0</v>
      </c>
      <c r="L176" s="31">
        <f>+'[1]Krediti Banaka'!I34</f>
        <v>0</v>
      </c>
      <c r="M176" s="31">
        <f>+'[1]Krediti Banaka'!J34</f>
        <v>0</v>
      </c>
      <c r="N176" s="31">
        <f>+'[1]Krediti Banaka'!K34</f>
        <v>0</v>
      </c>
      <c r="O176" s="31">
        <f>+'[1]Krediti Banaka'!L34</f>
        <v>0</v>
      </c>
    </row>
    <row r="177" spans="1:15" x14ac:dyDescent="0.25">
      <c r="A177" s="36" t="s">
        <v>419</v>
      </c>
      <c r="B177" s="159" t="s">
        <v>420</v>
      </c>
      <c r="C177" s="159" t="s">
        <v>421</v>
      </c>
      <c r="D177" s="29"/>
      <c r="E177" s="37">
        <v>718584</v>
      </c>
      <c r="F177" s="31">
        <f>+'[1]KONCESIJA I VIK'!C16+'[1]KONCESIJA I VIK'!H16</f>
        <v>382584</v>
      </c>
      <c r="G177" s="31">
        <f>'[1]KONCESIJA I VIK'!C28+'[1]KONCESIJA I VIK'!H28</f>
        <v>46584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</row>
    <row r="178" spans="1:15" ht="13" x14ac:dyDescent="0.3">
      <c r="B178" s="160" t="s">
        <v>422</v>
      </c>
      <c r="C178" s="160" t="s">
        <v>423</v>
      </c>
      <c r="D178" s="124"/>
      <c r="E178" s="125">
        <f t="shared" ref="E178:M178" si="95">SUM(E175:E177)</f>
        <v>3504451</v>
      </c>
      <c r="F178" s="126">
        <f>SUM(F175:F177)</f>
        <v>36326178.289999999</v>
      </c>
      <c r="G178" s="126">
        <f t="shared" si="95"/>
        <v>15647053.050000001</v>
      </c>
      <c r="H178" s="126">
        <f t="shared" si="95"/>
        <v>15257343.810000001</v>
      </c>
      <c r="I178" s="126">
        <f t="shared" si="95"/>
        <v>15000000</v>
      </c>
      <c r="J178" s="126">
        <f t="shared" si="95"/>
        <v>15000000</v>
      </c>
      <c r="K178" s="126">
        <f t="shared" si="95"/>
        <v>0</v>
      </c>
      <c r="L178" s="126">
        <f t="shared" si="95"/>
        <v>0</v>
      </c>
      <c r="M178" s="126">
        <f t="shared" si="95"/>
        <v>0</v>
      </c>
      <c r="N178" s="126">
        <f t="shared" ref="N178:O178" si="96">SUM(N175:N177)</f>
        <v>0</v>
      </c>
      <c r="O178" s="126">
        <f t="shared" si="96"/>
        <v>0</v>
      </c>
    </row>
    <row r="179" spans="1:15" ht="3" customHeight="1" x14ac:dyDescent="0.25">
      <c r="B179" s="161"/>
      <c r="C179" s="161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</row>
    <row r="180" spans="1:15" s="23" customFormat="1" ht="13" x14ac:dyDescent="0.3">
      <c r="B180" s="162" t="s">
        <v>424</v>
      </c>
      <c r="C180" s="162" t="s">
        <v>425</v>
      </c>
      <c r="D180" s="4"/>
      <c r="E180" s="5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</row>
    <row r="181" spans="1:15" x14ac:dyDescent="0.25">
      <c r="A181" s="36" t="s">
        <v>426</v>
      </c>
      <c r="B181" s="113" t="s">
        <v>427</v>
      </c>
      <c r="C181" s="113" t="s">
        <v>428</v>
      </c>
      <c r="D181" s="29"/>
      <c r="E181" s="37">
        <v>0</v>
      </c>
      <c r="F181" s="34">
        <f t="shared" ref="F181:O181" si="97">E181</f>
        <v>0</v>
      </c>
      <c r="G181" s="34">
        <f t="shared" si="97"/>
        <v>0</v>
      </c>
      <c r="H181" s="34">
        <f t="shared" si="97"/>
        <v>0</v>
      </c>
      <c r="I181" s="34">
        <f>H181</f>
        <v>0</v>
      </c>
      <c r="J181" s="34">
        <f t="shared" si="97"/>
        <v>0</v>
      </c>
      <c r="K181" s="34">
        <f t="shared" si="97"/>
        <v>0</v>
      </c>
      <c r="L181" s="34">
        <f>K181</f>
        <v>0</v>
      </c>
      <c r="M181" s="34">
        <f t="shared" si="97"/>
        <v>0</v>
      </c>
      <c r="N181" s="34">
        <f t="shared" si="97"/>
        <v>0</v>
      </c>
      <c r="O181" s="34">
        <f t="shared" si="97"/>
        <v>0</v>
      </c>
    </row>
    <row r="182" spans="1:15" x14ac:dyDescent="0.25">
      <c r="A182" s="36" t="s">
        <v>429</v>
      </c>
      <c r="B182" s="113" t="s">
        <v>430</v>
      </c>
      <c r="C182" s="113" t="s">
        <v>431</v>
      </c>
      <c r="D182" s="29"/>
      <c r="E182" s="37">
        <v>544823</v>
      </c>
      <c r="F182" s="31">
        <v>550000</v>
      </c>
      <c r="G182" s="31">
        <v>550000</v>
      </c>
      <c r="H182" s="31">
        <v>550000</v>
      </c>
      <c r="I182" s="31">
        <v>550000</v>
      </c>
      <c r="J182" s="31">
        <v>550000</v>
      </c>
      <c r="K182" s="31">
        <v>550000</v>
      </c>
      <c r="L182" s="31">
        <v>550000</v>
      </c>
      <c r="M182" s="31">
        <v>550000</v>
      </c>
      <c r="N182" s="31">
        <v>550000</v>
      </c>
      <c r="O182" s="31">
        <v>550000</v>
      </c>
    </row>
    <row r="183" spans="1:15" x14ac:dyDescent="0.25">
      <c r="A183" s="36" t="s">
        <v>432</v>
      </c>
      <c r="B183" s="113" t="s">
        <v>433</v>
      </c>
      <c r="C183" s="113" t="s">
        <v>434</v>
      </c>
      <c r="D183" s="29"/>
      <c r="E183" s="37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0</v>
      </c>
    </row>
    <row r="184" spans="1:15" x14ac:dyDescent="0.25">
      <c r="A184" s="163" t="s">
        <v>435</v>
      </c>
      <c r="B184" s="113" t="s">
        <v>436</v>
      </c>
      <c r="C184" s="113" t="s">
        <v>437</v>
      </c>
      <c r="D184" s="29"/>
      <c r="E184" s="37">
        <v>978978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f>+'[1]Krediti Banaka'!L33</f>
        <v>0</v>
      </c>
      <c r="O184" s="31">
        <f>+'[1]Krediti Banaka'!M33</f>
        <v>0</v>
      </c>
    </row>
    <row r="185" spans="1:15" x14ac:dyDescent="0.25">
      <c r="A185" s="163" t="s">
        <v>438</v>
      </c>
      <c r="B185" s="113" t="s">
        <v>439</v>
      </c>
      <c r="C185" s="113" t="s">
        <v>440</v>
      </c>
      <c r="D185" s="29"/>
      <c r="E185" s="37">
        <v>4158.43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</row>
    <row r="186" spans="1:15" x14ac:dyDescent="0.25">
      <c r="B186" s="113" t="s">
        <v>441</v>
      </c>
      <c r="C186" s="113" t="s">
        <v>442</v>
      </c>
      <c r="D186" s="29"/>
      <c r="E186" s="37">
        <f>SUM(E187:E189)</f>
        <v>5276887</v>
      </c>
      <c r="F186" s="115">
        <f>SUM(F187:F189)</f>
        <v>4100000</v>
      </c>
      <c r="G186" s="115">
        <f>SUM(G187:G189)</f>
        <v>3100000</v>
      </c>
      <c r="H186" s="115">
        <f>SUM(H187:H189)</f>
        <v>3100000</v>
      </c>
      <c r="I186" s="115">
        <f t="shared" ref="I186:O186" si="98">SUM(I187:I189)</f>
        <v>3100000</v>
      </c>
      <c r="J186" s="115">
        <f t="shared" si="98"/>
        <v>3100000</v>
      </c>
      <c r="K186" s="115">
        <f t="shared" si="98"/>
        <v>3100000</v>
      </c>
      <c r="L186" s="115">
        <f t="shared" si="98"/>
        <v>2100000</v>
      </c>
      <c r="M186" s="115">
        <f t="shared" si="98"/>
        <v>2100000</v>
      </c>
      <c r="N186" s="115">
        <f t="shared" si="98"/>
        <v>2100000</v>
      </c>
      <c r="O186" s="115">
        <f t="shared" si="98"/>
        <v>2100000</v>
      </c>
    </row>
    <row r="187" spans="1:15" s="32" customFormat="1" outlineLevel="1" x14ac:dyDescent="0.25">
      <c r="A187" s="32" t="s">
        <v>443</v>
      </c>
      <c r="B187" s="118" t="s">
        <v>444</v>
      </c>
      <c r="C187" s="118" t="s">
        <v>445</v>
      </c>
      <c r="D187" s="29"/>
      <c r="E187" s="30">
        <v>70766</v>
      </c>
      <c r="F187" s="34">
        <v>100000</v>
      </c>
      <c r="G187" s="34">
        <f t="shared" ref="G187" si="99">F187</f>
        <v>100000</v>
      </c>
      <c r="H187" s="34">
        <f>G187</f>
        <v>100000</v>
      </c>
      <c r="I187" s="34">
        <f t="shared" ref="I187" si="100">H187</f>
        <v>100000</v>
      </c>
      <c r="J187" s="34">
        <f>I187</f>
        <v>100000</v>
      </c>
      <c r="K187" s="34">
        <f t="shared" ref="K187" si="101">J187</f>
        <v>100000</v>
      </c>
      <c r="L187" s="34">
        <f>K187</f>
        <v>100000</v>
      </c>
      <c r="M187" s="34">
        <f t="shared" ref="M187:O187" si="102">L187</f>
        <v>100000</v>
      </c>
      <c r="N187" s="34">
        <f t="shared" si="102"/>
        <v>100000</v>
      </c>
      <c r="O187" s="34">
        <f t="shared" si="102"/>
        <v>100000</v>
      </c>
    </row>
    <row r="188" spans="1:15" s="32" customFormat="1" outlineLevel="1" x14ac:dyDescent="0.25">
      <c r="A188" s="32" t="s">
        <v>446</v>
      </c>
      <c r="B188" s="118" t="s">
        <v>447</v>
      </c>
      <c r="C188" s="118" t="s">
        <v>448</v>
      </c>
      <c r="D188" s="29"/>
      <c r="E188" s="30">
        <v>2132851</v>
      </c>
      <c r="F188" s="34">
        <v>2000000</v>
      </c>
      <c r="G188" s="34">
        <v>1500000</v>
      </c>
      <c r="H188" s="34">
        <v>1500000</v>
      </c>
      <c r="I188" s="34">
        <v>1500000</v>
      </c>
      <c r="J188" s="34">
        <v>1500000</v>
      </c>
      <c r="K188" s="34">
        <v>1500000</v>
      </c>
      <c r="L188" s="34">
        <v>1000000</v>
      </c>
      <c r="M188" s="34">
        <v>1000000</v>
      </c>
      <c r="N188" s="34">
        <v>1000000</v>
      </c>
      <c r="O188" s="34">
        <v>1000000</v>
      </c>
    </row>
    <row r="189" spans="1:15" s="32" customFormat="1" outlineLevel="1" x14ac:dyDescent="0.25">
      <c r="A189" s="32" t="s">
        <v>449</v>
      </c>
      <c r="B189" s="118" t="s">
        <v>450</v>
      </c>
      <c r="C189" s="118" t="s">
        <v>451</v>
      </c>
      <c r="D189" s="29"/>
      <c r="E189" s="30">
        <v>3073270</v>
      </c>
      <c r="F189" s="34">
        <v>2000000</v>
      </c>
      <c r="G189" s="34">
        <v>1500000</v>
      </c>
      <c r="H189" s="34">
        <v>1500000</v>
      </c>
      <c r="I189" s="34">
        <v>1500000</v>
      </c>
      <c r="J189" s="34">
        <v>1500000</v>
      </c>
      <c r="K189" s="34">
        <v>1500000</v>
      </c>
      <c r="L189" s="34">
        <v>1000000</v>
      </c>
      <c r="M189" s="34">
        <v>1000000</v>
      </c>
      <c r="N189" s="34">
        <v>1000000</v>
      </c>
      <c r="O189" s="34">
        <v>1000000</v>
      </c>
    </row>
    <row r="190" spans="1:15" s="23" customFormat="1" outlineLevel="1" x14ac:dyDescent="0.25">
      <c r="B190" s="164" t="s">
        <v>452</v>
      </c>
      <c r="C190" s="164" t="s">
        <v>453</v>
      </c>
      <c r="D190" s="29"/>
      <c r="E190" s="165">
        <f t="shared" ref="E190:O190" si="103">E3/((E55-E45+E25)/E186)</f>
        <v>107.94044022928375</v>
      </c>
      <c r="F190" s="166">
        <f t="shared" si="103"/>
        <v>85.898951999613246</v>
      </c>
      <c r="G190" s="166">
        <f t="shared" si="103"/>
        <v>62.51266682166608</v>
      </c>
      <c r="H190" s="166">
        <f t="shared" si="103"/>
        <v>61.90206590484371</v>
      </c>
      <c r="I190" s="166">
        <f t="shared" si="103"/>
        <v>62.929796318825353</v>
      </c>
      <c r="J190" s="166">
        <f t="shared" si="103"/>
        <v>62.312555166239854</v>
      </c>
      <c r="K190" s="166">
        <f t="shared" si="103"/>
        <v>63.455471901127233</v>
      </c>
      <c r="L190" s="166">
        <f t="shared" si="103"/>
        <v>41.398950616812932</v>
      </c>
      <c r="M190" s="166">
        <f t="shared" si="103"/>
        <v>40.989060016646469</v>
      </c>
      <c r="N190" s="166">
        <f t="shared" si="103"/>
        <v>40.583227739253935</v>
      </c>
      <c r="O190" s="166">
        <f t="shared" si="103"/>
        <v>40.181413603221714</v>
      </c>
    </row>
    <row r="191" spans="1:15" x14ac:dyDescent="0.25">
      <c r="A191" s="36" t="s">
        <v>454</v>
      </c>
      <c r="B191" s="113" t="s">
        <v>455</v>
      </c>
      <c r="C191" s="113" t="s">
        <v>456</v>
      </c>
      <c r="D191" s="29"/>
      <c r="E191" s="37">
        <v>764269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</row>
    <row r="192" spans="1:15" x14ac:dyDescent="0.25">
      <c r="B192" s="113" t="s">
        <v>457</v>
      </c>
      <c r="C192" s="113" t="s">
        <v>458</v>
      </c>
      <c r="D192" s="29"/>
      <c r="E192" s="114">
        <f t="shared" ref="E192:M192" si="104">SUM(E193:E197)</f>
        <v>26424679</v>
      </c>
      <c r="F192" s="115">
        <f>SUM(F193:F197)</f>
        <v>2183230.1684666667</v>
      </c>
      <c r="G192" s="115">
        <f t="shared" si="104"/>
        <v>2194333.2030473333</v>
      </c>
      <c r="H192" s="115">
        <f t="shared" si="104"/>
        <v>2205551.459689647</v>
      </c>
      <c r="I192" s="115">
        <f t="shared" si="104"/>
        <v>2216886.2582828566</v>
      </c>
      <c r="J192" s="115">
        <f t="shared" si="104"/>
        <v>2228338.9386218516</v>
      </c>
      <c r="K192" s="115">
        <f t="shared" si="104"/>
        <v>2239910.8608744824</v>
      </c>
      <c r="L192" s="115">
        <f t="shared" si="104"/>
        <v>2251603.4060642966</v>
      </c>
      <c r="M192" s="115">
        <f t="shared" si="104"/>
        <v>2263417.9765692516</v>
      </c>
      <c r="N192" s="115">
        <f t="shared" ref="N192:O192" si="105">SUM(N193:N197)</f>
        <v>2275355.9966370291</v>
      </c>
      <c r="O192" s="115">
        <f t="shared" si="105"/>
        <v>2287418.9129175674</v>
      </c>
    </row>
    <row r="193" spans="1:58" s="32" customFormat="1" outlineLevel="1" x14ac:dyDescent="0.25">
      <c r="A193" s="32" t="s">
        <v>459</v>
      </c>
      <c r="B193" s="118" t="s">
        <v>460</v>
      </c>
      <c r="C193" s="118" t="s">
        <v>461</v>
      </c>
      <c r="D193" s="29"/>
      <c r="E193" s="30">
        <v>377093</v>
      </c>
      <c r="F193" s="34">
        <v>381376</v>
      </c>
      <c r="G193" s="34">
        <v>381376</v>
      </c>
      <c r="H193" s="34">
        <v>381376</v>
      </c>
      <c r="I193" s="34">
        <v>381376</v>
      </c>
      <c r="J193" s="34">
        <v>381376</v>
      </c>
      <c r="K193" s="34">
        <v>381376</v>
      </c>
      <c r="L193" s="34">
        <v>381376</v>
      </c>
      <c r="M193" s="34">
        <v>381376</v>
      </c>
      <c r="N193" s="34">
        <v>381376</v>
      </c>
      <c r="O193" s="34">
        <v>381376</v>
      </c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</row>
    <row r="194" spans="1:58" s="32" customFormat="1" outlineLevel="1" x14ac:dyDescent="0.25">
      <c r="A194" s="32" t="s">
        <v>462</v>
      </c>
      <c r="B194" s="118" t="s">
        <v>463</v>
      </c>
      <c r="C194" s="118" t="s">
        <v>464</v>
      </c>
      <c r="D194" s="29"/>
      <c r="E194" s="30">
        <v>1369712</v>
      </c>
      <c r="F194" s="34">
        <v>700000</v>
      </c>
      <c r="G194" s="34">
        <f>+F194*G1</f>
        <v>707000</v>
      </c>
      <c r="H194" s="34">
        <f t="shared" ref="H194:O194" si="106">+G194*H1</f>
        <v>714070</v>
      </c>
      <c r="I194" s="34">
        <f t="shared" si="106"/>
        <v>721210.7</v>
      </c>
      <c r="J194" s="34">
        <f t="shared" si="106"/>
        <v>728422.80699999991</v>
      </c>
      <c r="K194" s="34">
        <f t="shared" si="106"/>
        <v>735707.03506999987</v>
      </c>
      <c r="L194" s="34">
        <f t="shared" si="106"/>
        <v>743064.10542069993</v>
      </c>
      <c r="M194" s="34">
        <f t="shared" si="106"/>
        <v>750494.74647490692</v>
      </c>
      <c r="N194" s="34">
        <f t="shared" si="106"/>
        <v>757999.69393965602</v>
      </c>
      <c r="O194" s="34">
        <f t="shared" si="106"/>
        <v>765579.69087905262</v>
      </c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</row>
    <row r="195" spans="1:58" s="32" customFormat="1" outlineLevel="1" x14ac:dyDescent="0.25">
      <c r="A195" s="32" t="s">
        <v>465</v>
      </c>
      <c r="B195" s="118" t="s">
        <v>466</v>
      </c>
      <c r="C195" s="118" t="s">
        <v>467</v>
      </c>
      <c r="D195" s="29"/>
      <c r="E195" s="30">
        <v>202030</v>
      </c>
      <c r="F195" s="34">
        <v>202030</v>
      </c>
      <c r="G195" s="34">
        <v>202030</v>
      </c>
      <c r="H195" s="34">
        <v>202030</v>
      </c>
      <c r="I195" s="34">
        <v>202030</v>
      </c>
      <c r="J195" s="34">
        <v>202030</v>
      </c>
      <c r="K195" s="34">
        <v>202030</v>
      </c>
      <c r="L195" s="34">
        <v>202030</v>
      </c>
      <c r="M195" s="34">
        <v>202030</v>
      </c>
      <c r="N195" s="34">
        <v>202030</v>
      </c>
      <c r="O195" s="34">
        <v>202030</v>
      </c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19"/>
      <c r="BF195" s="119"/>
    </row>
    <row r="196" spans="1:58" s="32" customFormat="1" outlineLevel="1" x14ac:dyDescent="0.25">
      <c r="A196" s="32" t="s">
        <v>468</v>
      </c>
      <c r="B196" s="118" t="s">
        <v>469</v>
      </c>
      <c r="C196" s="118" t="s">
        <v>470</v>
      </c>
      <c r="D196" s="29"/>
      <c r="E196" s="30">
        <v>13378967</v>
      </c>
      <c r="F196" s="34">
        <v>500000</v>
      </c>
      <c r="G196" s="34">
        <v>500000</v>
      </c>
      <c r="H196" s="34">
        <v>500000</v>
      </c>
      <c r="I196" s="34">
        <v>500000</v>
      </c>
      <c r="J196" s="34">
        <v>500000</v>
      </c>
      <c r="K196" s="34">
        <v>500000</v>
      </c>
      <c r="L196" s="34">
        <v>500000</v>
      </c>
      <c r="M196" s="34">
        <v>500000</v>
      </c>
      <c r="N196" s="34">
        <v>500000</v>
      </c>
      <c r="O196" s="34">
        <v>500000</v>
      </c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19"/>
      <c r="BF196" s="119"/>
    </row>
    <row r="197" spans="1:58" s="32" customFormat="1" outlineLevel="1" x14ac:dyDescent="0.25">
      <c r="A197" s="32" t="s">
        <v>471</v>
      </c>
      <c r="B197" s="118" t="s">
        <v>472</v>
      </c>
      <c r="C197" s="118" t="s">
        <v>473</v>
      </c>
      <c r="D197" s="29"/>
      <c r="E197" s="30">
        <v>11096877</v>
      </c>
      <c r="F197" s="34">
        <f t="shared" ref="F197:O197" si="107">+(F8+F15+F16+F20)*0.17/12</f>
        <v>399824.16846666666</v>
      </c>
      <c r="G197" s="34">
        <f t="shared" si="107"/>
        <v>403927.20304733334</v>
      </c>
      <c r="H197" s="34">
        <f t="shared" si="107"/>
        <v>408075.45968964673</v>
      </c>
      <c r="I197" s="34">
        <f t="shared" si="107"/>
        <v>412269.55828285677</v>
      </c>
      <c r="J197" s="34">
        <f t="shared" si="107"/>
        <v>416510.13162185153</v>
      </c>
      <c r="K197" s="34">
        <f t="shared" si="107"/>
        <v>420797.82580448274</v>
      </c>
      <c r="L197" s="34">
        <f t="shared" si="107"/>
        <v>425133.30064359686</v>
      </c>
      <c r="M197" s="34">
        <f t="shared" si="107"/>
        <v>429517.230094345</v>
      </c>
      <c r="N197" s="34">
        <f t="shared" si="107"/>
        <v>433950.30269737303</v>
      </c>
      <c r="O197" s="34">
        <f t="shared" si="107"/>
        <v>438433.22203851468</v>
      </c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119"/>
      <c r="BF197" s="119"/>
    </row>
    <row r="198" spans="1:58" ht="13" x14ac:dyDescent="0.3">
      <c r="B198" s="152" t="s">
        <v>474</v>
      </c>
      <c r="C198" s="152" t="s">
        <v>475</v>
      </c>
      <c r="D198" s="124"/>
      <c r="E198" s="125">
        <f>E182+E186+E192+E191+E183+E181+E184+E185</f>
        <v>33993794.43</v>
      </c>
      <c r="F198" s="126">
        <f>F182+F186+F192+F191+F183+F181+F184+F185</f>
        <v>6833230.1684666667</v>
      </c>
      <c r="G198" s="126">
        <f t="shared" ref="G198:O198" si="108">G182+G186+G192+G191+G183+G181+G184+G185</f>
        <v>5844333.2030473333</v>
      </c>
      <c r="H198" s="126">
        <f t="shared" si="108"/>
        <v>5855551.459689647</v>
      </c>
      <c r="I198" s="126">
        <f t="shared" si="108"/>
        <v>5866886.258282857</v>
      </c>
      <c r="J198" s="126">
        <f t="shared" si="108"/>
        <v>5878338.9386218516</v>
      </c>
      <c r="K198" s="126">
        <f t="shared" si="108"/>
        <v>5889910.8608744824</v>
      </c>
      <c r="L198" s="126">
        <f t="shared" si="108"/>
        <v>4901603.4060642961</v>
      </c>
      <c r="M198" s="126">
        <f t="shared" si="108"/>
        <v>4913417.9765692521</v>
      </c>
      <c r="N198" s="126">
        <f t="shared" si="108"/>
        <v>4925355.9966370296</v>
      </c>
      <c r="O198" s="126">
        <f t="shared" si="108"/>
        <v>4937418.9129175674</v>
      </c>
      <c r="P198" s="1" t="s">
        <v>8</v>
      </c>
    </row>
    <row r="199" spans="1:58" x14ac:dyDescent="0.25">
      <c r="A199" s="36" t="s">
        <v>476</v>
      </c>
      <c r="B199" s="168" t="s">
        <v>278</v>
      </c>
      <c r="C199" s="168" t="s">
        <v>477</v>
      </c>
      <c r="D199" s="29"/>
      <c r="E199" s="37">
        <v>10818798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f>+[1]SPORAZUM!K44</f>
        <v>0</v>
      </c>
      <c r="N199" s="37">
        <f>+[1]SPORAZUM!L44</f>
        <v>0</v>
      </c>
      <c r="O199" s="37">
        <f>+[1]SPORAZUM!M44</f>
        <v>0</v>
      </c>
    </row>
    <row r="200" spans="1:58" ht="13.5" thickBot="1" x14ac:dyDescent="0.3">
      <c r="B200" s="142" t="s">
        <v>478</v>
      </c>
      <c r="C200" s="142" t="s">
        <v>479</v>
      </c>
      <c r="D200" s="39"/>
      <c r="E200" s="143">
        <f t="shared" ref="E200" si="109">E172+E178+E198+E199</f>
        <v>109911773.57999998</v>
      </c>
      <c r="F200" s="144">
        <f>F172+F178+F198+F199</f>
        <v>107933380.52920727</v>
      </c>
      <c r="G200" s="144">
        <f t="shared" ref="G200:O200" si="110">G172+G178+G198+G199</f>
        <v>87036041.851746678</v>
      </c>
      <c r="H200" s="144">
        <f t="shared" si="110"/>
        <v>89359727.192590624</v>
      </c>
      <c r="I200" s="144">
        <f t="shared" si="110"/>
        <v>92170982.524959087</v>
      </c>
      <c r="J200" s="144">
        <f t="shared" si="110"/>
        <v>95261349.367642894</v>
      </c>
      <c r="K200" s="144">
        <f t="shared" si="110"/>
        <v>84418299.602294445</v>
      </c>
      <c r="L200" s="144">
        <f t="shared" si="110"/>
        <v>88207649.461242855</v>
      </c>
      <c r="M200" s="144">
        <f t="shared" si="110"/>
        <v>93693024.739454672</v>
      </c>
      <c r="N200" s="144">
        <f t="shared" si="110"/>
        <v>99473313.579391271</v>
      </c>
      <c r="O200" s="144">
        <f t="shared" si="110"/>
        <v>105370116.49913754</v>
      </c>
    </row>
    <row r="201" spans="1:58" hidden="1" x14ac:dyDescent="0.25">
      <c r="B201" s="169" t="s">
        <v>480</v>
      </c>
      <c r="C201" s="169" t="s">
        <v>481</v>
      </c>
      <c r="D201" s="170"/>
      <c r="E201" s="171">
        <f t="shared" ref="E201:O201" si="111">E200-E163</f>
        <v>0.40999999642372131</v>
      </c>
      <c r="F201" s="171">
        <f t="shared" si="111"/>
        <v>0.41000001132488251</v>
      </c>
      <c r="G201" s="171">
        <f t="shared" si="111"/>
        <v>0.40999998152256012</v>
      </c>
      <c r="H201" s="171">
        <f t="shared" si="111"/>
        <v>0.40999998152256012</v>
      </c>
      <c r="I201" s="171">
        <f t="shared" si="111"/>
        <v>0.40999998152256012</v>
      </c>
      <c r="J201" s="171">
        <f t="shared" si="111"/>
        <v>0.40999996662139893</v>
      </c>
      <c r="K201" s="171">
        <f t="shared" si="111"/>
        <v>0.40999999642372131</v>
      </c>
      <c r="L201" s="171">
        <f t="shared" si="111"/>
        <v>0.40999999642372131</v>
      </c>
      <c r="M201" s="171">
        <f t="shared" si="111"/>
        <v>1.3799999952316284</v>
      </c>
      <c r="N201" s="171">
        <f t="shared" si="111"/>
        <v>2.3499999940395355</v>
      </c>
      <c r="O201" s="171">
        <f t="shared" si="111"/>
        <v>3.3200000077486038</v>
      </c>
    </row>
    <row r="202" spans="1:58" x14ac:dyDescent="0.25">
      <c r="B202" s="172"/>
      <c r="C202" s="172"/>
      <c r="D202" s="103"/>
      <c r="E202" s="104">
        <f>+E163-E200</f>
        <v>-0.40999999642372131</v>
      </c>
      <c r="F202" s="104">
        <f>+F163-F200</f>
        <v>-0.41000001132488251</v>
      </c>
      <c r="G202" s="104"/>
      <c r="H202" s="104"/>
      <c r="I202" s="104"/>
      <c r="J202" s="104"/>
      <c r="K202" s="104"/>
      <c r="L202" s="104"/>
      <c r="M202" s="104"/>
      <c r="N202" s="104"/>
      <c r="O202" s="104"/>
    </row>
    <row r="203" spans="1:58" ht="13" thickBot="1" x14ac:dyDescent="0.3">
      <c r="B203" s="172"/>
      <c r="C203" s="172"/>
    </row>
    <row r="204" spans="1:58" ht="13.5" thickBot="1" x14ac:dyDescent="0.35">
      <c r="B204" s="173" t="s">
        <v>482</v>
      </c>
      <c r="C204" s="173" t="s">
        <v>483</v>
      </c>
      <c r="D204" s="11"/>
      <c r="E204" s="174" t="s">
        <v>5</v>
      </c>
      <c r="F204" s="175" t="s">
        <v>5</v>
      </c>
      <c r="G204" s="175" t="s">
        <v>5</v>
      </c>
      <c r="H204" s="175" t="s">
        <v>5</v>
      </c>
      <c r="I204" s="175" t="s">
        <v>5</v>
      </c>
      <c r="J204" s="175" t="s">
        <v>5</v>
      </c>
      <c r="K204" s="175" t="s">
        <v>5</v>
      </c>
      <c r="L204" s="175" t="s">
        <v>5</v>
      </c>
      <c r="M204" s="175" t="s">
        <v>5</v>
      </c>
      <c r="N204" s="175" t="s">
        <v>5</v>
      </c>
      <c r="O204" s="175" t="s">
        <v>5</v>
      </c>
    </row>
    <row r="205" spans="1:58" ht="13" x14ac:dyDescent="0.3">
      <c r="B205" s="176" t="s">
        <v>6</v>
      </c>
      <c r="C205" s="176" t="str">
        <f>C102</f>
        <v>u KM</v>
      </c>
      <c r="D205" s="16"/>
      <c r="E205" s="177">
        <v>2024</v>
      </c>
      <c r="F205" s="18">
        <v>2025</v>
      </c>
      <c r="G205" s="18">
        <v>2026</v>
      </c>
      <c r="H205" s="18">
        <v>2027</v>
      </c>
      <c r="I205" s="18">
        <v>2028</v>
      </c>
      <c r="J205" s="18">
        <v>2029</v>
      </c>
      <c r="K205" s="18">
        <v>2030</v>
      </c>
      <c r="L205" s="18">
        <v>2031</v>
      </c>
      <c r="M205" s="18">
        <v>2032</v>
      </c>
      <c r="N205" s="18">
        <v>2033</v>
      </c>
      <c r="O205" s="18">
        <v>2034</v>
      </c>
    </row>
    <row r="206" spans="1:58" ht="13" x14ac:dyDescent="0.3">
      <c r="B206" s="178" t="s">
        <v>484</v>
      </c>
      <c r="C206" s="178" t="s">
        <v>485</v>
      </c>
      <c r="D206" s="124"/>
      <c r="E206" s="125">
        <f>D155</f>
        <v>0</v>
      </c>
      <c r="F206" s="126">
        <f t="shared" ref="F206:O206" si="112">E155</f>
        <v>241333</v>
      </c>
      <c r="G206" s="126">
        <f t="shared" si="112"/>
        <v>23411958.53920728</v>
      </c>
      <c r="H206" s="126">
        <f t="shared" si="112"/>
        <v>6047093.5992467105</v>
      </c>
      <c r="I206" s="126">
        <f t="shared" si="112"/>
        <v>7096129.767125641</v>
      </c>
      <c r="J206" s="126">
        <f t="shared" si="112"/>
        <v>6402580.3557594707</v>
      </c>
      <c r="K206" s="126">
        <f t="shared" si="112"/>
        <v>12620617.678231288</v>
      </c>
      <c r="L206" s="126">
        <f t="shared" si="112"/>
        <v>4756073.9949286859</v>
      </c>
      <c r="M206" s="126">
        <f t="shared" si="112"/>
        <v>10926970.391203444</v>
      </c>
      <c r="N206" s="126">
        <f t="shared" si="112"/>
        <v>18146201.119074874</v>
      </c>
      <c r="O206" s="126">
        <f t="shared" si="112"/>
        <v>25460077.841827665</v>
      </c>
    </row>
    <row r="207" spans="1:58" ht="3" customHeight="1" x14ac:dyDescent="0.25">
      <c r="B207" s="179"/>
      <c r="C207" s="179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</row>
    <row r="208" spans="1:58" ht="13" x14ac:dyDescent="0.3">
      <c r="B208" s="180" t="s">
        <v>486</v>
      </c>
      <c r="C208" s="181" t="s">
        <v>487</v>
      </c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</row>
    <row r="209" spans="2:15" x14ac:dyDescent="0.25">
      <c r="B209" s="182" t="s">
        <v>220</v>
      </c>
      <c r="C209" s="182" t="s">
        <v>221</v>
      </c>
      <c r="D209" s="183"/>
      <c r="E209" s="184">
        <f>E95</f>
        <v>47566.879999998957</v>
      </c>
      <c r="F209" s="185">
        <f t="shared" ref="F209:O209" si="113">F95</f>
        <v>3179241.920740617</v>
      </c>
      <c r="G209" s="185">
        <f t="shared" si="113"/>
        <v>770683.52795875003</v>
      </c>
      <c r="H209" s="185">
        <f t="shared" si="113"/>
        <v>2702176.3242016332</v>
      </c>
      <c r="I209" s="185">
        <f>I95</f>
        <v>3057264.3437752561</v>
      </c>
      <c r="J209" s="185">
        <f t="shared" si="113"/>
        <v>3078914.162344818</v>
      </c>
      <c r="K209" s="185">
        <f t="shared" si="113"/>
        <v>4145378.3123988993</v>
      </c>
      <c r="L209" s="185">
        <f>L95</f>
        <v>4777657.3137585968</v>
      </c>
      <c r="M209" s="185">
        <f t="shared" si="113"/>
        <v>5473560.7077068686</v>
      </c>
      <c r="N209" s="185">
        <f t="shared" si="113"/>
        <v>5768350.8198688235</v>
      </c>
      <c r="O209" s="185">
        <f t="shared" si="113"/>
        <v>5884740.0034657158</v>
      </c>
    </row>
    <row r="210" spans="2:15" x14ac:dyDescent="0.25">
      <c r="B210" s="186" t="s">
        <v>135</v>
      </c>
      <c r="C210" s="186" t="s">
        <v>136</v>
      </c>
      <c r="D210" s="183"/>
      <c r="E210" s="184">
        <f t="shared" ref="E210:L210" si="114">E59</f>
        <v>2452852</v>
      </c>
      <c r="F210" s="185">
        <f t="shared" si="114"/>
        <v>2135274.5</v>
      </c>
      <c r="G210" s="185">
        <f t="shared" si="114"/>
        <v>2050356.7039999999</v>
      </c>
      <c r="H210" s="185">
        <f t="shared" si="114"/>
        <v>2780907.9040000001</v>
      </c>
      <c r="I210" s="185">
        <f t="shared" si="114"/>
        <v>2980907.9040000001</v>
      </c>
      <c r="J210" s="185">
        <f t="shared" si="114"/>
        <v>3079187.9040000001</v>
      </c>
      <c r="K210" s="185">
        <f t="shared" si="114"/>
        <v>3079187.9040000001</v>
      </c>
      <c r="L210" s="185">
        <f t="shared" si="114"/>
        <v>2408038.3039999986</v>
      </c>
      <c r="M210" s="185">
        <f>M59-0.97</f>
        <v>1760612.1339999998</v>
      </c>
      <c r="N210" s="185">
        <f t="shared" ref="N210:O210" si="115">N59-0.97</f>
        <v>1560612.1339999998</v>
      </c>
      <c r="O210" s="185">
        <f t="shared" si="115"/>
        <v>1560612.1339999998</v>
      </c>
    </row>
    <row r="211" spans="2:15" x14ac:dyDescent="0.25">
      <c r="B211" s="187" t="s">
        <v>488</v>
      </c>
      <c r="C211" s="188" t="s">
        <v>489</v>
      </c>
      <c r="D211" s="183"/>
      <c r="E211" s="184">
        <f>SUM(E212:E219)</f>
        <v>28627313.18</v>
      </c>
      <c r="F211" s="185">
        <f>SUM(F212:F219)</f>
        <v>-28260359.741533335</v>
      </c>
      <c r="G211" s="185">
        <f t="shared" ref="G211:O211" si="116">SUM(G212:G219)</f>
        <v>461672.06808066647</v>
      </c>
      <c r="H211" s="185">
        <f t="shared" si="116"/>
        <v>-4338.8203226863407</v>
      </c>
      <c r="I211" s="185">
        <f t="shared" si="116"/>
        <v>-14377.849141440354</v>
      </c>
      <c r="J211" s="185">
        <f t="shared" si="116"/>
        <v>-14517.093873001635</v>
      </c>
      <c r="K211" s="185">
        <f t="shared" si="116"/>
        <v>-14657.549701485783</v>
      </c>
      <c r="L211" s="185">
        <f t="shared" si="116"/>
        <v>-1014799.2214838429</v>
      </c>
      <c r="M211" s="185">
        <f t="shared" si="116"/>
        <v>-14942.113835440483</v>
      </c>
      <c r="N211" s="185">
        <f t="shared" si="116"/>
        <v>-15086.231116019655</v>
      </c>
      <c r="O211" s="185">
        <f t="shared" si="116"/>
        <v>-15231.577415098902</v>
      </c>
    </row>
    <row r="212" spans="2:15" s="32" customFormat="1" outlineLevel="1" x14ac:dyDescent="0.25">
      <c r="B212" s="189" t="s">
        <v>490</v>
      </c>
      <c r="C212" s="190" t="s">
        <v>491</v>
      </c>
      <c r="D212" s="103"/>
      <c r="E212" s="191">
        <f>D125-E125</f>
        <v>-4673792</v>
      </c>
      <c r="F212" s="192">
        <f>E125-F125</f>
        <v>753487.35000000009</v>
      </c>
      <c r="G212" s="192">
        <f>F125-G125</f>
        <v>584596.95349999983</v>
      </c>
      <c r="H212" s="192">
        <f t="shared" ref="H212:O212" si="117">G125-H125</f>
        <v>-15557.076965000015</v>
      </c>
      <c r="I212" s="192">
        <f t="shared" si="117"/>
        <v>-15712.647734649945</v>
      </c>
      <c r="J212" s="192">
        <f t="shared" si="117"/>
        <v>-15869.774211996701</v>
      </c>
      <c r="K212" s="192">
        <f t="shared" si="117"/>
        <v>-16028.471954116598</v>
      </c>
      <c r="L212" s="192">
        <f t="shared" si="117"/>
        <v>-16188.756673657335</v>
      </c>
      <c r="M212" s="192">
        <f t="shared" si="117"/>
        <v>-16350.6442403947</v>
      </c>
      <c r="N212" s="192">
        <f t="shared" si="117"/>
        <v>-16514.150682798121</v>
      </c>
      <c r="O212" s="192">
        <f t="shared" si="117"/>
        <v>-16679.292189626023</v>
      </c>
    </row>
    <row r="213" spans="2:15" s="32" customFormat="1" outlineLevel="1" x14ac:dyDescent="0.25">
      <c r="B213" s="189" t="s">
        <v>492</v>
      </c>
      <c r="C213" s="190" t="s">
        <v>493</v>
      </c>
      <c r="D213" s="103"/>
      <c r="E213" s="191">
        <f>D134-E134+D142-E142+D143-E143</f>
        <v>-2156994.8200000003</v>
      </c>
      <c r="F213" s="192">
        <f t="shared" ref="F213:O213" si="118">E134-F134+E142-F142+E143-F143</f>
        <v>191022.74</v>
      </c>
      <c r="G213" s="192">
        <f t="shared" si="118"/>
        <v>835972.08000000007</v>
      </c>
      <c r="H213" s="192">
        <f t="shared" si="118"/>
        <v>0</v>
      </c>
      <c r="I213" s="192">
        <f t="shared" si="118"/>
        <v>-10000</v>
      </c>
      <c r="J213" s="192">
        <f t="shared" si="118"/>
        <v>-10100</v>
      </c>
      <c r="K213" s="192">
        <f t="shared" si="118"/>
        <v>-10201</v>
      </c>
      <c r="L213" s="192">
        <f t="shared" si="118"/>
        <v>-10303.009999999776</v>
      </c>
      <c r="M213" s="192">
        <f t="shared" si="118"/>
        <v>-10406.040100000799</v>
      </c>
      <c r="N213" s="192">
        <f t="shared" si="118"/>
        <v>-10510.100500999019</v>
      </c>
      <c r="O213" s="192">
        <f t="shared" si="118"/>
        <v>-10615.201506011188</v>
      </c>
    </row>
    <row r="214" spans="2:15" s="32" customFormat="1" outlineLevel="1" x14ac:dyDescent="0.25">
      <c r="B214" s="189" t="s">
        <v>494</v>
      </c>
      <c r="C214" s="190" t="s">
        <v>495</v>
      </c>
      <c r="D214" s="103"/>
      <c r="E214" s="191">
        <f>D151-E151</f>
        <v>-730000</v>
      </c>
      <c r="F214" s="192">
        <f t="shared" ref="F214:K214" si="119">E151-F151</f>
        <v>730000</v>
      </c>
      <c r="G214" s="192">
        <f t="shared" si="119"/>
        <v>0</v>
      </c>
      <c r="H214" s="192">
        <f t="shared" si="119"/>
        <v>0</v>
      </c>
      <c r="I214" s="192">
        <f>H151-I151</f>
        <v>0</v>
      </c>
      <c r="J214" s="192">
        <f t="shared" si="119"/>
        <v>0</v>
      </c>
      <c r="K214" s="192">
        <f t="shared" si="119"/>
        <v>0</v>
      </c>
      <c r="L214" s="192">
        <v>0</v>
      </c>
      <c r="M214" s="192">
        <v>0</v>
      </c>
      <c r="N214" s="192">
        <v>0</v>
      </c>
      <c r="O214" s="192">
        <v>0</v>
      </c>
    </row>
    <row r="215" spans="2:15" s="32" customFormat="1" outlineLevel="1" x14ac:dyDescent="0.25">
      <c r="B215" s="189" t="s">
        <v>496</v>
      </c>
      <c r="C215" s="190" t="s">
        <v>497</v>
      </c>
      <c r="D215" s="103"/>
      <c r="E215" s="191">
        <f>D162-E162</f>
        <v>-7096533</v>
      </c>
      <c r="F215" s="192">
        <f>E162-F162</f>
        <v>7066533</v>
      </c>
      <c r="G215" s="192">
        <f>F162-G162</f>
        <v>30000</v>
      </c>
      <c r="H215" s="192">
        <f t="shared" ref="H215:J215" si="120">G162-H162</f>
        <v>0</v>
      </c>
      <c r="I215" s="192">
        <f t="shared" si="120"/>
        <v>0</v>
      </c>
      <c r="J215" s="192">
        <f t="shared" si="120"/>
        <v>0</v>
      </c>
      <c r="K215" s="192">
        <f t="shared" ref="K215" si="121">I162-K162</f>
        <v>0</v>
      </c>
      <c r="L215" s="192">
        <f>J162-L162</f>
        <v>0</v>
      </c>
      <c r="M215" s="192">
        <f t="shared" ref="M215:O215" si="122">K162-M162</f>
        <v>0</v>
      </c>
      <c r="N215" s="192">
        <f t="shared" si="122"/>
        <v>0</v>
      </c>
      <c r="O215" s="192">
        <f t="shared" si="122"/>
        <v>0</v>
      </c>
    </row>
    <row r="216" spans="2:15" s="32" customFormat="1" outlineLevel="1" x14ac:dyDescent="0.25">
      <c r="B216" s="190" t="s">
        <v>498</v>
      </c>
      <c r="C216" s="193" t="s">
        <v>499</v>
      </c>
      <c r="D216" s="130"/>
      <c r="E216" s="194">
        <f>E186-D186</f>
        <v>5276887</v>
      </c>
      <c r="F216" s="195">
        <f t="shared" ref="F216:O216" si="123">F186-E186</f>
        <v>-1176887</v>
      </c>
      <c r="G216" s="195">
        <f t="shared" si="123"/>
        <v>-1000000</v>
      </c>
      <c r="H216" s="195">
        <f t="shared" si="123"/>
        <v>0</v>
      </c>
      <c r="I216" s="195">
        <f>I186-H186</f>
        <v>0</v>
      </c>
      <c r="J216" s="195">
        <f t="shared" si="123"/>
        <v>0</v>
      </c>
      <c r="K216" s="195">
        <f>K186-J186</f>
        <v>0</v>
      </c>
      <c r="L216" s="195">
        <f t="shared" si="123"/>
        <v>-1000000</v>
      </c>
      <c r="M216" s="195">
        <f t="shared" si="123"/>
        <v>0</v>
      </c>
      <c r="N216" s="195">
        <f t="shared" si="123"/>
        <v>0</v>
      </c>
      <c r="O216" s="195">
        <f t="shared" si="123"/>
        <v>0</v>
      </c>
    </row>
    <row r="217" spans="2:15" s="32" customFormat="1" outlineLevel="1" x14ac:dyDescent="0.25">
      <c r="B217" s="190" t="s">
        <v>500</v>
      </c>
      <c r="C217" s="193" t="s">
        <v>501</v>
      </c>
      <c r="D217" s="130"/>
      <c r="E217" s="194">
        <f>E192-D192</f>
        <v>26424679</v>
      </c>
      <c r="F217" s="195">
        <f>F192-E192</f>
        <v>-24241448.831533335</v>
      </c>
      <c r="G217" s="195">
        <f t="shared" ref="G217:L217" si="124">G192-F192</f>
        <v>11103.034580666572</v>
      </c>
      <c r="H217" s="195">
        <f>H192-G192</f>
        <v>11218.256642313674</v>
      </c>
      <c r="I217" s="195">
        <f>I192-H192</f>
        <v>11334.798593209591</v>
      </c>
      <c r="J217" s="195">
        <f t="shared" si="124"/>
        <v>11452.680338995066</v>
      </c>
      <c r="K217" s="195">
        <f>K192-J192</f>
        <v>11571.922252630815</v>
      </c>
      <c r="L217" s="195">
        <f t="shared" si="124"/>
        <v>11692.545189814176</v>
      </c>
      <c r="M217" s="195">
        <f>M192-L192</f>
        <v>11814.570504955016</v>
      </c>
      <c r="N217" s="195">
        <f t="shared" ref="N217:O217" si="125">N192-M192</f>
        <v>11938.020067777485</v>
      </c>
      <c r="O217" s="195">
        <f t="shared" si="125"/>
        <v>12062.916280538309</v>
      </c>
    </row>
    <row r="218" spans="2:15" s="32" customFormat="1" outlineLevel="1" x14ac:dyDescent="0.25">
      <c r="B218" s="190" t="s">
        <v>502</v>
      </c>
      <c r="C218" s="193" t="s">
        <v>503</v>
      </c>
      <c r="D218" s="130"/>
      <c r="E218" s="194">
        <f>E191-D191</f>
        <v>764269</v>
      </c>
      <c r="F218" s="195">
        <f t="shared" ref="F218:O218" si="126">F191-E191</f>
        <v>-764269</v>
      </c>
      <c r="G218" s="195">
        <f t="shared" si="126"/>
        <v>0</v>
      </c>
      <c r="H218" s="195">
        <f t="shared" si="126"/>
        <v>0</v>
      </c>
      <c r="I218" s="195">
        <f>I191-H191</f>
        <v>0</v>
      </c>
      <c r="J218" s="195">
        <f t="shared" si="126"/>
        <v>0</v>
      </c>
      <c r="K218" s="195">
        <f>K191-J191</f>
        <v>0</v>
      </c>
      <c r="L218" s="195">
        <f t="shared" si="126"/>
        <v>0</v>
      </c>
      <c r="M218" s="195">
        <f t="shared" si="126"/>
        <v>0</v>
      </c>
      <c r="N218" s="195">
        <f t="shared" si="126"/>
        <v>0</v>
      </c>
      <c r="O218" s="195">
        <f t="shared" si="126"/>
        <v>0</v>
      </c>
    </row>
    <row r="219" spans="2:15" s="32" customFormat="1" outlineLevel="1" x14ac:dyDescent="0.25">
      <c r="B219" s="190" t="s">
        <v>504</v>
      </c>
      <c r="C219" s="193" t="s">
        <v>505</v>
      </c>
      <c r="D219" s="130"/>
      <c r="E219" s="194">
        <f>E199-D199</f>
        <v>10818798</v>
      </c>
      <c r="F219" s="195">
        <f t="shared" ref="F219:O219" si="127">F199-E199</f>
        <v>-10818798</v>
      </c>
      <c r="G219" s="195">
        <f t="shared" si="127"/>
        <v>0</v>
      </c>
      <c r="H219" s="195">
        <f t="shared" si="127"/>
        <v>0</v>
      </c>
      <c r="I219" s="195">
        <f t="shared" si="127"/>
        <v>0</v>
      </c>
      <c r="J219" s="195">
        <f t="shared" si="127"/>
        <v>0</v>
      </c>
      <c r="K219" s="195">
        <f>K199-J199</f>
        <v>0</v>
      </c>
      <c r="L219" s="195">
        <f t="shared" si="127"/>
        <v>0</v>
      </c>
      <c r="M219" s="195">
        <f t="shared" si="127"/>
        <v>0</v>
      </c>
      <c r="N219" s="195">
        <f t="shared" si="127"/>
        <v>0</v>
      </c>
      <c r="O219" s="195">
        <f t="shared" si="127"/>
        <v>0</v>
      </c>
    </row>
    <row r="220" spans="2:15" ht="13" x14ac:dyDescent="0.25">
      <c r="B220" s="196" t="s">
        <v>506</v>
      </c>
      <c r="C220" s="196" t="s">
        <v>507</v>
      </c>
      <c r="D220" s="39"/>
      <c r="E220" s="197">
        <f t="shared" ref="E220:M220" si="128">SUM(E209:E211)</f>
        <v>31127732.059999999</v>
      </c>
      <c r="F220" s="198">
        <f>SUM(F209:F211)</f>
        <v>-22945843.32079272</v>
      </c>
      <c r="G220" s="198">
        <f t="shared" si="128"/>
        <v>3282712.3000394162</v>
      </c>
      <c r="H220" s="198">
        <f t="shared" si="128"/>
        <v>5478745.4078789465</v>
      </c>
      <c r="I220" s="198">
        <f t="shared" si="128"/>
        <v>6023794.3986338163</v>
      </c>
      <c r="J220" s="198">
        <f t="shared" si="128"/>
        <v>6143584.9724718165</v>
      </c>
      <c r="K220" s="198">
        <f t="shared" si="128"/>
        <v>7209908.6666974137</v>
      </c>
      <c r="L220" s="198">
        <f t="shared" si="128"/>
        <v>6170896.3962747529</v>
      </c>
      <c r="M220" s="198">
        <f t="shared" si="128"/>
        <v>7219230.7278714273</v>
      </c>
      <c r="N220" s="198">
        <f t="shared" ref="N220:O220" si="129">SUM(N209:N211)</f>
        <v>7313876.7227528039</v>
      </c>
      <c r="O220" s="198">
        <f t="shared" si="129"/>
        <v>7430120.560050616</v>
      </c>
    </row>
    <row r="221" spans="2:15" ht="3" customHeight="1" x14ac:dyDescent="0.25">
      <c r="B221" s="182"/>
      <c r="C221" s="182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</row>
    <row r="222" spans="2:15" ht="13" x14ac:dyDescent="0.3">
      <c r="B222" s="180" t="s">
        <v>508</v>
      </c>
      <c r="C222" s="181" t="s">
        <v>509</v>
      </c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2:15" x14ac:dyDescent="0.25">
      <c r="B223" s="186" t="s">
        <v>510</v>
      </c>
      <c r="C223" s="186" t="s">
        <v>511</v>
      </c>
      <c r="D223" s="149"/>
      <c r="E223" s="199">
        <f>D104-E104+D109-E109-E59</f>
        <v>-95859983</v>
      </c>
      <c r="F223" s="200">
        <f>E104-F104+E109-F109-F59</f>
        <v>12779517</v>
      </c>
      <c r="G223" s="200">
        <f>F104-G104+F109-G109-G59</f>
        <v>1.1175870895385742E-8</v>
      </c>
      <c r="H223" s="200">
        <f t="shared" ref="H223:O223" si="130">G104-H104+G109-H109-H59</f>
        <v>-4040000.0000000158</v>
      </c>
      <c r="I223" s="200">
        <f t="shared" si="130"/>
        <v>-6459999.999999986</v>
      </c>
      <c r="J223" s="200">
        <f>I104-J104+I109-J109-J59</f>
        <v>0</v>
      </c>
      <c r="K223" s="200">
        <f>J104-K104+J109-K109-K59</f>
        <v>-1.5832483768463135E-8</v>
      </c>
      <c r="L223" s="200">
        <f t="shared" si="130"/>
        <v>6.5192580223083496E-9</v>
      </c>
      <c r="M223" s="200">
        <f t="shared" si="130"/>
        <v>2.3283064365386963E-9</v>
      </c>
      <c r="N223" s="200">
        <f t="shared" si="130"/>
        <v>-1.257285475730896E-8</v>
      </c>
      <c r="O223" s="200">
        <f t="shared" si="130"/>
        <v>2.3283064365386963E-9</v>
      </c>
    </row>
    <row r="224" spans="2:15" x14ac:dyDescent="0.25">
      <c r="B224" s="201" t="s">
        <v>512</v>
      </c>
      <c r="C224" s="201" t="s">
        <v>513</v>
      </c>
      <c r="D224" s="149"/>
      <c r="E224" s="199">
        <f>D115-E115+D121-E121</f>
        <v>-1605989.35</v>
      </c>
      <c r="F224" s="200">
        <f t="shared" ref="F224:O224" si="131">E115-F115+E121-F121</f>
        <v>1493184</v>
      </c>
      <c r="G224" s="200">
        <f t="shared" si="131"/>
        <v>31548</v>
      </c>
      <c r="H224" s="200">
        <f t="shared" si="131"/>
        <v>0</v>
      </c>
      <c r="I224" s="200">
        <f t="shared" si="131"/>
        <v>0</v>
      </c>
      <c r="J224" s="200">
        <f>I115-J115+I121-J121</f>
        <v>74452.350000000006</v>
      </c>
      <c r="K224" s="200">
        <f t="shared" si="131"/>
        <v>-74452.350000000006</v>
      </c>
      <c r="L224" s="200">
        <f t="shared" si="131"/>
        <v>0</v>
      </c>
      <c r="M224" s="200">
        <f t="shared" si="131"/>
        <v>0</v>
      </c>
      <c r="N224" s="200">
        <f t="shared" si="131"/>
        <v>0</v>
      </c>
      <c r="O224" s="200">
        <f t="shared" si="131"/>
        <v>0</v>
      </c>
    </row>
    <row r="225" spans="2:15" ht="13" x14ac:dyDescent="0.25">
      <c r="B225" s="196" t="s">
        <v>514</v>
      </c>
      <c r="C225" s="196" t="s">
        <v>515</v>
      </c>
      <c r="D225" s="39"/>
      <c r="E225" s="197">
        <f t="shared" ref="E225:M225" si="132">SUM(E223:E224)</f>
        <v>-97465972.349999994</v>
      </c>
      <c r="F225" s="198">
        <f t="shared" si="132"/>
        <v>14272701</v>
      </c>
      <c r="G225" s="198">
        <f t="shared" si="132"/>
        <v>31548.000000011176</v>
      </c>
      <c r="H225" s="198">
        <f t="shared" si="132"/>
        <v>-4040000.0000000158</v>
      </c>
      <c r="I225" s="198">
        <f t="shared" si="132"/>
        <v>-6459999.999999986</v>
      </c>
      <c r="J225" s="198">
        <f t="shared" si="132"/>
        <v>74452.350000000006</v>
      </c>
      <c r="K225" s="198">
        <f t="shared" si="132"/>
        <v>-74452.350000015838</v>
      </c>
      <c r="L225" s="198">
        <f t="shared" si="132"/>
        <v>6.5192580223083496E-9</v>
      </c>
      <c r="M225" s="198">
        <f t="shared" si="132"/>
        <v>2.3283064365386963E-9</v>
      </c>
      <c r="N225" s="198">
        <f t="shared" ref="N225:O225" si="133">SUM(N223:N224)</f>
        <v>-1.257285475730896E-8</v>
      </c>
      <c r="O225" s="198">
        <f t="shared" si="133"/>
        <v>2.3283064365386963E-9</v>
      </c>
    </row>
    <row r="226" spans="2:15" x14ac:dyDescent="0.25">
      <c r="B226" s="179"/>
      <c r="C226" s="179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</row>
    <row r="227" spans="2:15" ht="13" x14ac:dyDescent="0.3">
      <c r="B227" s="180" t="s">
        <v>516</v>
      </c>
      <c r="C227" s="181" t="s">
        <v>517</v>
      </c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</row>
    <row r="228" spans="2:15" x14ac:dyDescent="0.25">
      <c r="B228" s="186" t="s">
        <v>518</v>
      </c>
      <c r="C228" s="186" t="s">
        <v>519</v>
      </c>
      <c r="D228" s="149"/>
      <c r="E228" s="199">
        <f>SUM(E166:E170)-SUM(D166:D171)</f>
        <v>61547163.269999981</v>
      </c>
      <c r="F228" s="200">
        <f t="shared" ref="F228:I228" si="134">SUM(F166:F170)-SUM(E166:E171)</f>
        <v>0</v>
      </c>
      <c r="G228" s="200">
        <f t="shared" si="134"/>
        <v>0</v>
      </c>
      <c r="H228" s="200">
        <f>SUM(H166:H170)-SUM(G166:G171)</f>
        <v>0</v>
      </c>
      <c r="I228" s="200">
        <f t="shared" si="134"/>
        <v>0</v>
      </c>
      <c r="J228" s="200">
        <f>SUM(J166:J170)-SUM(I166:I171)</f>
        <v>0</v>
      </c>
      <c r="K228" s="200">
        <f>SUM(K166:K170)-SUM(J166:J171)</f>
        <v>0</v>
      </c>
      <c r="L228" s="200">
        <f t="shared" ref="L228" si="135">SUM(L166:L170)-SUM(K166:K171)</f>
        <v>0</v>
      </c>
      <c r="M228" s="200">
        <f>SUM(M166:M170)-SUM(L166:L171)</f>
        <v>0</v>
      </c>
      <c r="N228" s="200">
        <f t="shared" ref="N228:O228" si="136">SUM(N166:N170)-SUM(M166:M171)</f>
        <v>0</v>
      </c>
      <c r="O228" s="200">
        <f t="shared" si="136"/>
        <v>0</v>
      </c>
    </row>
    <row r="229" spans="2:15" x14ac:dyDescent="0.25">
      <c r="B229" s="186" t="s">
        <v>520</v>
      </c>
      <c r="C229" s="186" t="s">
        <v>521</v>
      </c>
      <c r="D229" s="149"/>
      <c r="E229" s="199">
        <f>E178-D178</f>
        <v>3504451</v>
      </c>
      <c r="F229" s="200">
        <f t="shared" ref="F229:O229" si="137">F178-E178</f>
        <v>32821727.289999999</v>
      </c>
      <c r="G229" s="200">
        <f t="shared" si="137"/>
        <v>-20679125.239999998</v>
      </c>
      <c r="H229" s="200">
        <f>H178-G178</f>
        <v>-389709.24000000022</v>
      </c>
      <c r="I229" s="200">
        <f t="shared" si="137"/>
        <v>-257343.81000000052</v>
      </c>
      <c r="J229" s="200">
        <f>J178-I178</f>
        <v>0</v>
      </c>
      <c r="K229" s="200">
        <f t="shared" si="137"/>
        <v>-15000000</v>
      </c>
      <c r="L229" s="200">
        <f t="shared" si="137"/>
        <v>0</v>
      </c>
      <c r="M229" s="200">
        <f t="shared" si="137"/>
        <v>0</v>
      </c>
      <c r="N229" s="200">
        <f t="shared" si="137"/>
        <v>0</v>
      </c>
      <c r="O229" s="200">
        <f t="shared" si="137"/>
        <v>0</v>
      </c>
    </row>
    <row r="230" spans="2:15" x14ac:dyDescent="0.25">
      <c r="B230" s="201" t="s">
        <v>522</v>
      </c>
      <c r="C230" s="201" t="s">
        <v>523</v>
      </c>
      <c r="D230" s="149"/>
      <c r="E230" s="150">
        <f>SUM(E181:E185)-SUM(D181:D185)</f>
        <v>1527959.43</v>
      </c>
      <c r="F230" s="151">
        <f>SUM(F181:F185)-SUM(E181:E185)</f>
        <v>-977959.42999999993</v>
      </c>
      <c r="G230" s="151">
        <f t="shared" ref="G230:J230" si="138">SUM(G181:G185)-SUM(F181:F185)</f>
        <v>0</v>
      </c>
      <c r="H230" s="151">
        <f>SUM(H181:H185)-SUM(G181:G185)</f>
        <v>0</v>
      </c>
      <c r="I230" s="151">
        <f t="shared" si="138"/>
        <v>0</v>
      </c>
      <c r="J230" s="151">
        <f t="shared" si="138"/>
        <v>0</v>
      </c>
      <c r="K230" s="151">
        <f>SUM(K181:K185)-SUM(J181:J185)</f>
        <v>0</v>
      </c>
      <c r="L230" s="151">
        <f>SUM(L181:L185)-SUM(K181:K185)</f>
        <v>0</v>
      </c>
      <c r="M230" s="151">
        <f t="shared" ref="M230" si="139">SUM(M181:M185)-SUM(L181:L185)</f>
        <v>0</v>
      </c>
      <c r="N230" s="151">
        <f t="shared" ref="N230" si="140">SUM(N181:N185)-SUM(M181:M185)</f>
        <v>0</v>
      </c>
      <c r="O230" s="151">
        <f t="shared" ref="O230" si="141">SUM(O181:O185)-SUM(N181:N185)</f>
        <v>0</v>
      </c>
    </row>
    <row r="231" spans="2:15" ht="13" x14ac:dyDescent="0.25">
      <c r="B231" s="196" t="s">
        <v>524</v>
      </c>
      <c r="C231" s="196" t="s">
        <v>525</v>
      </c>
      <c r="D231" s="39"/>
      <c r="E231" s="197">
        <f t="shared" ref="E231:O231" si="142">SUM(E228:E230)</f>
        <v>66579573.699999981</v>
      </c>
      <c r="F231" s="198">
        <f t="shared" si="142"/>
        <v>31843767.859999999</v>
      </c>
      <c r="G231" s="198">
        <f t="shared" si="142"/>
        <v>-20679125.239999998</v>
      </c>
      <c r="H231" s="198">
        <f t="shared" si="142"/>
        <v>-389709.24000000022</v>
      </c>
      <c r="I231" s="198">
        <f t="shared" si="142"/>
        <v>-257343.81000000052</v>
      </c>
      <c r="J231" s="198">
        <f t="shared" si="142"/>
        <v>0</v>
      </c>
      <c r="K231" s="198">
        <f t="shared" si="142"/>
        <v>-15000000</v>
      </c>
      <c r="L231" s="198">
        <f t="shared" si="142"/>
        <v>0</v>
      </c>
      <c r="M231" s="198">
        <f t="shared" si="142"/>
        <v>0</v>
      </c>
      <c r="N231" s="198">
        <f t="shared" si="142"/>
        <v>0</v>
      </c>
      <c r="O231" s="198">
        <f t="shared" si="142"/>
        <v>0</v>
      </c>
    </row>
    <row r="232" spans="2:15" ht="3" customHeight="1" x14ac:dyDescent="0.25">
      <c r="B232" s="201" t="e">
        <v>#N/A</v>
      </c>
      <c r="C232" s="201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</row>
    <row r="233" spans="2:15" ht="13.5" thickBot="1" x14ac:dyDescent="0.35">
      <c r="B233" s="202" t="s">
        <v>526</v>
      </c>
      <c r="C233" s="202" t="s">
        <v>527</v>
      </c>
      <c r="D233" s="124"/>
      <c r="E233" s="203">
        <f>E220+E225+E231</f>
        <v>241333.40999998897</v>
      </c>
      <c r="F233" s="204">
        <f t="shared" ref="F233:O233" si="143">F220+F225+F231</f>
        <v>23170625.53920728</v>
      </c>
      <c r="G233" s="204">
        <f t="shared" si="143"/>
        <v>-17364864.939960569</v>
      </c>
      <c r="H233" s="204">
        <f t="shared" si="143"/>
        <v>1049036.1678789305</v>
      </c>
      <c r="I233" s="204">
        <f t="shared" si="143"/>
        <v>-693549.41136617027</v>
      </c>
      <c r="J233" s="204">
        <f t="shared" si="143"/>
        <v>6218037.3224718161</v>
      </c>
      <c r="K233" s="204">
        <f t="shared" si="143"/>
        <v>-7864543.6833026018</v>
      </c>
      <c r="L233" s="204">
        <f t="shared" si="143"/>
        <v>6170896.3962747594</v>
      </c>
      <c r="M233" s="204">
        <f t="shared" si="143"/>
        <v>7219230.7278714292</v>
      </c>
      <c r="N233" s="204">
        <f t="shared" si="143"/>
        <v>7313876.7227527909</v>
      </c>
      <c r="O233" s="204">
        <f t="shared" si="143"/>
        <v>7430120.5600506179</v>
      </c>
    </row>
    <row r="234" spans="2:15" ht="13" x14ac:dyDescent="0.3">
      <c r="B234" s="205" t="s">
        <v>528</v>
      </c>
      <c r="C234" s="205" t="s">
        <v>529</v>
      </c>
      <c r="D234" s="124"/>
      <c r="E234" s="206">
        <f t="shared" ref="E234:O234" si="144">E206+E233</f>
        <v>241333.40999998897</v>
      </c>
      <c r="F234" s="207">
        <f t="shared" si="144"/>
        <v>23411958.53920728</v>
      </c>
      <c r="G234" s="207">
        <f t="shared" si="144"/>
        <v>6047093.5992467105</v>
      </c>
      <c r="H234" s="207">
        <f t="shared" si="144"/>
        <v>7096129.767125641</v>
      </c>
      <c r="I234" s="207">
        <f t="shared" si="144"/>
        <v>6402580.3557594707</v>
      </c>
      <c r="J234" s="207">
        <f t="shared" si="144"/>
        <v>12620617.678231288</v>
      </c>
      <c r="K234" s="207">
        <f t="shared" si="144"/>
        <v>4756073.9949286859</v>
      </c>
      <c r="L234" s="207">
        <f t="shared" si="144"/>
        <v>10926970.391203444</v>
      </c>
      <c r="M234" s="207">
        <f t="shared" si="144"/>
        <v>18146201.119074874</v>
      </c>
      <c r="N234" s="207">
        <f t="shared" si="144"/>
        <v>25460077.841827665</v>
      </c>
      <c r="O234" s="207">
        <f t="shared" si="144"/>
        <v>32890198.401878282</v>
      </c>
    </row>
    <row r="235" spans="2:15" x14ac:dyDescent="0.25">
      <c r="B235" s="169" t="s">
        <v>480</v>
      </c>
      <c r="C235" s="208" t="s">
        <v>481</v>
      </c>
      <c r="D235" s="209"/>
      <c r="E235" s="210">
        <f t="shared" ref="E235:O235" si="145">E234-E155</f>
        <v>0.40999998897314072</v>
      </c>
      <c r="F235" s="211">
        <f t="shared" si="145"/>
        <v>0</v>
      </c>
      <c r="G235" s="211">
        <f t="shared" si="145"/>
        <v>0</v>
      </c>
      <c r="H235" s="211">
        <f t="shared" si="145"/>
        <v>0</v>
      </c>
      <c r="I235" s="211">
        <f t="shared" si="145"/>
        <v>0</v>
      </c>
      <c r="J235" s="211">
        <f t="shared" si="145"/>
        <v>0</v>
      </c>
      <c r="K235" s="211">
        <f t="shared" si="145"/>
        <v>0</v>
      </c>
      <c r="L235" s="211">
        <f t="shared" si="145"/>
        <v>0</v>
      </c>
      <c r="M235" s="211">
        <f t="shared" si="145"/>
        <v>0</v>
      </c>
      <c r="N235" s="211">
        <f t="shared" si="145"/>
        <v>0</v>
      </c>
      <c r="O235" s="211">
        <f t="shared" si="145"/>
        <v>0</v>
      </c>
    </row>
    <row r="236" spans="2:15" ht="13" thickBot="1" x14ac:dyDescent="0.3">
      <c r="F236" s="212"/>
      <c r="G236" s="212"/>
      <c r="H236" s="212"/>
      <c r="I236" s="212"/>
      <c r="J236" s="212"/>
      <c r="K236" s="212"/>
      <c r="L236" s="212"/>
      <c r="M236" s="212"/>
      <c r="N236" s="212"/>
      <c r="O236" s="212"/>
    </row>
    <row r="237" spans="2:15" ht="13.5" thickBot="1" x14ac:dyDescent="0.35">
      <c r="B237" s="213" t="s">
        <v>530</v>
      </c>
      <c r="C237" s="213" t="s">
        <v>531</v>
      </c>
      <c r="D237" s="11"/>
      <c r="E237" s="214">
        <f t="shared" ref="E237:O237" si="146">E205</f>
        <v>2024</v>
      </c>
      <c r="F237" s="214">
        <f t="shared" si="146"/>
        <v>2025</v>
      </c>
      <c r="G237" s="214">
        <f t="shared" si="146"/>
        <v>2026</v>
      </c>
      <c r="H237" s="214">
        <f t="shared" si="146"/>
        <v>2027</v>
      </c>
      <c r="I237" s="214">
        <f t="shared" si="146"/>
        <v>2028</v>
      </c>
      <c r="J237" s="214">
        <f t="shared" si="146"/>
        <v>2029</v>
      </c>
      <c r="K237" s="214">
        <f t="shared" si="146"/>
        <v>2030</v>
      </c>
      <c r="L237" s="214">
        <f t="shared" si="146"/>
        <v>2031</v>
      </c>
      <c r="M237" s="214">
        <f t="shared" si="146"/>
        <v>2032</v>
      </c>
      <c r="N237" s="214">
        <f t="shared" si="146"/>
        <v>2033</v>
      </c>
      <c r="O237" s="214">
        <f t="shared" si="146"/>
        <v>2034</v>
      </c>
    </row>
    <row r="238" spans="2:15" x14ac:dyDescent="0.25">
      <c r="B238" s="215" t="s">
        <v>305</v>
      </c>
      <c r="C238" s="216" t="s">
        <v>306</v>
      </c>
      <c r="D238" s="217"/>
      <c r="E238" s="218">
        <f t="shared" ref="E238:O238" si="147">E133</f>
        <v>123.99487856488982</v>
      </c>
      <c r="F238" s="219">
        <f t="shared" si="147"/>
        <v>105.22349270801161</v>
      </c>
      <c r="G238" s="219">
        <f t="shared" si="147"/>
        <v>88.646074558457656</v>
      </c>
      <c r="H238" s="219">
        <f t="shared" si="147"/>
        <v>88.177724961985632</v>
      </c>
      <c r="I238" s="219">
        <f t="shared" si="147"/>
        <v>90.823007451969232</v>
      </c>
      <c r="J238" s="219">
        <f t="shared" si="147"/>
        <v>90.347612787439971</v>
      </c>
      <c r="K238" s="219">
        <f t="shared" si="147"/>
        <v>89.876925000777362</v>
      </c>
      <c r="L238" s="219">
        <f t="shared" si="147"/>
        <v>89.410897489230194</v>
      </c>
      <c r="M238" s="219">
        <f t="shared" si="147"/>
        <v>88.949484111460762</v>
      </c>
      <c r="N238" s="219">
        <f t="shared" si="147"/>
        <v>88.492639182976149</v>
      </c>
      <c r="O238" s="219">
        <f t="shared" si="147"/>
        <v>88.040317471605235</v>
      </c>
    </row>
    <row r="239" spans="2:15" x14ac:dyDescent="0.25">
      <c r="B239" s="220" t="s">
        <v>532</v>
      </c>
      <c r="C239" s="221" t="s">
        <v>533</v>
      </c>
      <c r="D239" s="222"/>
      <c r="E239" s="223">
        <f t="shared" ref="E239:O239" si="148">E141</f>
        <v>23.204704743804577</v>
      </c>
      <c r="F239" s="224">
        <f t="shared" si="148"/>
        <v>21.472137711289133</v>
      </c>
      <c r="G239" s="224">
        <f t="shared" si="148"/>
        <v>13.181227788369569</v>
      </c>
      <c r="H239" s="224">
        <f t="shared" si="148"/>
        <v>13.03871051367161</v>
      </c>
      <c r="I239" s="224">
        <f t="shared" si="148"/>
        <v>13.021543091215491</v>
      </c>
      <c r="J239" s="224">
        <f t="shared" si="148"/>
        <v>13.004422438365264</v>
      </c>
      <c r="K239" s="224">
        <f t="shared" si="148"/>
        <v>12.987344620873849</v>
      </c>
      <c r="L239" s="224">
        <f t="shared" si="148"/>
        <v>12.970305648567066</v>
      </c>
      <c r="M239" s="224">
        <f t="shared" si="148"/>
        <v>12.953301473501977</v>
      </c>
      <c r="N239" s="224">
        <f t="shared" si="148"/>
        <v>12.936327988095277</v>
      </c>
      <c r="O239" s="224">
        <f t="shared" si="148"/>
        <v>12.919381023222201</v>
      </c>
    </row>
    <row r="240" spans="2:15" x14ac:dyDescent="0.25">
      <c r="B240" s="220" t="s">
        <v>534</v>
      </c>
      <c r="C240" s="221" t="s">
        <v>328</v>
      </c>
      <c r="D240" s="222"/>
      <c r="E240" s="223">
        <f t="shared" ref="E240:O240" si="149">E190</f>
        <v>107.94044022928375</v>
      </c>
      <c r="F240" s="224">
        <f t="shared" si="149"/>
        <v>85.898951999613246</v>
      </c>
      <c r="G240" s="224">
        <f t="shared" si="149"/>
        <v>62.51266682166608</v>
      </c>
      <c r="H240" s="224">
        <f t="shared" si="149"/>
        <v>61.90206590484371</v>
      </c>
      <c r="I240" s="224">
        <f t="shared" si="149"/>
        <v>62.929796318825353</v>
      </c>
      <c r="J240" s="224">
        <f t="shared" si="149"/>
        <v>62.312555166239854</v>
      </c>
      <c r="K240" s="224">
        <f t="shared" si="149"/>
        <v>63.455471901127233</v>
      </c>
      <c r="L240" s="224">
        <f t="shared" si="149"/>
        <v>41.398950616812932</v>
      </c>
      <c r="M240" s="224">
        <f t="shared" si="149"/>
        <v>40.989060016646469</v>
      </c>
      <c r="N240" s="224">
        <f t="shared" si="149"/>
        <v>40.583227739253935</v>
      </c>
      <c r="O240" s="224">
        <f t="shared" si="149"/>
        <v>40.181413603221714</v>
      </c>
    </row>
    <row r="241" spans="2:15" ht="13" thickBot="1" x14ac:dyDescent="0.3">
      <c r="B241" s="225" t="s">
        <v>535</v>
      </c>
      <c r="C241" s="226" t="s">
        <v>531</v>
      </c>
      <c r="D241" s="222"/>
      <c r="E241" s="227">
        <f t="shared" ref="E241:O241" si="150">-(E240-(E239+E238))</f>
        <v>39.259143079410649</v>
      </c>
      <c r="F241" s="228">
        <f t="shared" si="150"/>
        <v>40.796678419687495</v>
      </c>
      <c r="G241" s="228">
        <f t="shared" si="150"/>
        <v>39.314635525161144</v>
      </c>
      <c r="H241" s="228">
        <f t="shared" si="150"/>
        <v>39.31436957081354</v>
      </c>
      <c r="I241" s="228">
        <f t="shared" si="150"/>
        <v>40.91475422435937</v>
      </c>
      <c r="J241" s="228">
        <f t="shared" si="150"/>
        <v>41.039480059565385</v>
      </c>
      <c r="K241" s="228">
        <f t="shared" si="150"/>
        <v>39.408797720523971</v>
      </c>
      <c r="L241" s="228">
        <f t="shared" si="150"/>
        <v>60.982252520984325</v>
      </c>
      <c r="M241" s="228">
        <f t="shared" si="150"/>
        <v>60.913725568316273</v>
      </c>
      <c r="N241" s="228">
        <f t="shared" si="150"/>
        <v>60.845739431817485</v>
      </c>
      <c r="O241" s="228">
        <f t="shared" si="150"/>
        <v>60.778284891605722</v>
      </c>
    </row>
    <row r="242" spans="2:15" ht="13" thickTop="1" x14ac:dyDescent="0.25">
      <c r="F242" s="212"/>
      <c r="G242" s="212"/>
      <c r="H242" s="212"/>
      <c r="I242" s="212"/>
      <c r="J242" s="212"/>
      <c r="K242" s="212"/>
      <c r="L242" s="212"/>
      <c r="M242" s="212"/>
      <c r="N242" s="212"/>
      <c r="O242" s="212"/>
    </row>
    <row r="243" spans="2:15" ht="13" thickBot="1" x14ac:dyDescent="0.3">
      <c r="F243" s="212"/>
      <c r="G243" s="212"/>
      <c r="H243" s="212"/>
      <c r="I243" s="212"/>
      <c r="J243" s="212"/>
      <c r="K243" s="212"/>
      <c r="L243" s="212"/>
      <c r="M243" s="212"/>
      <c r="N243" s="212"/>
      <c r="O243" s="212"/>
    </row>
    <row r="244" spans="2:15" ht="13.5" thickBot="1" x14ac:dyDescent="0.35">
      <c r="B244" s="213" t="s">
        <v>530</v>
      </c>
      <c r="C244" s="213" t="s">
        <v>536</v>
      </c>
      <c r="D244" s="11"/>
      <c r="E244" s="214">
        <f t="shared" ref="E244:O244" si="151">E237</f>
        <v>2024</v>
      </c>
      <c r="F244" s="214">
        <f t="shared" si="151"/>
        <v>2025</v>
      </c>
      <c r="G244" s="214">
        <f t="shared" si="151"/>
        <v>2026</v>
      </c>
      <c r="H244" s="214">
        <f t="shared" si="151"/>
        <v>2027</v>
      </c>
      <c r="I244" s="214">
        <f t="shared" si="151"/>
        <v>2028</v>
      </c>
      <c r="J244" s="214">
        <f t="shared" si="151"/>
        <v>2029</v>
      </c>
      <c r="K244" s="214">
        <f t="shared" si="151"/>
        <v>2030</v>
      </c>
      <c r="L244" s="214">
        <f t="shared" si="151"/>
        <v>2031</v>
      </c>
      <c r="M244" s="214">
        <f t="shared" si="151"/>
        <v>2032</v>
      </c>
      <c r="N244" s="214">
        <f t="shared" si="151"/>
        <v>2033</v>
      </c>
      <c r="O244" s="214">
        <f t="shared" si="151"/>
        <v>2034</v>
      </c>
    </row>
    <row r="245" spans="2:15" ht="13" x14ac:dyDescent="0.3">
      <c r="B245" s="229" t="s">
        <v>537</v>
      </c>
      <c r="C245" s="230" t="s">
        <v>538</v>
      </c>
      <c r="D245" s="231"/>
      <c r="E245" s="232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</row>
    <row r="246" spans="2:15" x14ac:dyDescent="0.25">
      <c r="B246" s="234" t="s">
        <v>539</v>
      </c>
      <c r="C246" s="235" t="s">
        <v>540</v>
      </c>
      <c r="D246" s="231"/>
      <c r="E246" s="232">
        <f t="shared" ref="E246:O246" si="152">(E161-E125)/E198</f>
        <v>9.2026438132461238E-2</v>
      </c>
      <c r="F246" s="233">
        <f t="shared" si="152"/>
        <v>3.7138995750968422</v>
      </c>
      <c r="G246" s="233">
        <f t="shared" si="152"/>
        <v>1.2280431915662258</v>
      </c>
      <c r="H246" s="233">
        <f t="shared" si="152"/>
        <v>1.4048428783788089</v>
      </c>
      <c r="I246" s="233">
        <f t="shared" si="152"/>
        <v>1.2856189848764963</v>
      </c>
      <c r="J246" s="233">
        <f t="shared" si="152"/>
        <v>2.3426205637369675</v>
      </c>
      <c r="K246" s="233">
        <f t="shared" si="152"/>
        <v>1.004493129807787</v>
      </c>
      <c r="L246" s="233">
        <f t="shared" si="152"/>
        <v>2.4680851139927493</v>
      </c>
      <c r="M246" s="233">
        <f t="shared" si="152"/>
        <v>3.9335573039666198</v>
      </c>
      <c r="N246" s="233">
        <f t="shared" si="152"/>
        <v>5.4111008444112541</v>
      </c>
      <c r="O246" s="233">
        <f t="shared" si="152"/>
        <v>6.9048898534396006</v>
      </c>
    </row>
    <row r="247" spans="2:15" x14ac:dyDescent="0.25">
      <c r="B247" s="234" t="s">
        <v>541</v>
      </c>
      <c r="C247" s="235" t="s">
        <v>542</v>
      </c>
      <c r="D247" s="236"/>
      <c r="E247" s="237">
        <f t="shared" ref="E247:O247" si="153">E161/E198</f>
        <v>0.22951600287123347</v>
      </c>
      <c r="F247" s="238">
        <f t="shared" si="153"/>
        <v>4.2876113561065097</v>
      </c>
      <c r="G247" s="238">
        <f t="shared" si="153"/>
        <v>1.7988025204081723</v>
      </c>
      <c r="H247" s="238">
        <f t="shared" si="153"/>
        <v>1.9771655360371916</v>
      </c>
      <c r="I247" s="238">
        <f t="shared" si="153"/>
        <v>1.8595141096449641</v>
      </c>
      <c r="J247" s="238">
        <f t="shared" si="153"/>
        <v>2.9180972810092007</v>
      </c>
      <c r="K247" s="238">
        <f t="shared" si="153"/>
        <v>1.581560550291826</v>
      </c>
      <c r="L247" s="238">
        <f t="shared" si="153"/>
        <v>3.1648090512689229</v>
      </c>
      <c r="M247" s="238">
        <f t="shared" si="153"/>
        <v>4.6319336856714326</v>
      </c>
      <c r="N247" s="238">
        <f t="shared" si="153"/>
        <v>6.1111373943209086</v>
      </c>
      <c r="O247" s="238">
        <f t="shared" si="153"/>
        <v>7.6065942403385778</v>
      </c>
    </row>
    <row r="248" spans="2:15" x14ac:dyDescent="0.25">
      <c r="B248" s="234" t="s">
        <v>543</v>
      </c>
      <c r="C248" s="235" t="s">
        <v>544</v>
      </c>
      <c r="D248" s="236"/>
      <c r="E248" s="237">
        <f t="shared" ref="E248:O248" si="154">(E198+E178)/E57</f>
        <v>6.8247025471644154</v>
      </c>
      <c r="F248" s="238">
        <f t="shared" si="154"/>
        <v>5.8150484268964409</v>
      </c>
      <c r="G248" s="238">
        <f t="shared" si="154"/>
        <v>3.0740692100346525</v>
      </c>
      <c r="H248" s="238">
        <f t="shared" si="154"/>
        <v>2.9620869720264533</v>
      </c>
      <c r="I248" s="238">
        <f t="shared" si="154"/>
        <v>2.7038269786306945</v>
      </c>
      <c r="J248" s="238">
        <f t="shared" si="154"/>
        <v>2.6628315900917223</v>
      </c>
      <c r="K248" s="238">
        <f t="shared" si="154"/>
        <v>0.6957593617367982</v>
      </c>
      <c r="L248" s="238">
        <f t="shared" si="154"/>
        <v>0.60536520679239336</v>
      </c>
      <c r="M248" s="238">
        <f t="shared" si="154"/>
        <v>0.59748204484956569</v>
      </c>
      <c r="N248" s="238">
        <f t="shared" si="154"/>
        <v>0.5897289937122191</v>
      </c>
      <c r="O248" s="238">
        <f t="shared" si="154"/>
        <v>0.58210285269918161</v>
      </c>
    </row>
    <row r="249" spans="2:15" ht="13" thickBot="1" x14ac:dyDescent="0.3">
      <c r="B249" s="239" t="s">
        <v>545</v>
      </c>
      <c r="C249" s="240" t="s">
        <v>546</v>
      </c>
      <c r="D249" s="241"/>
      <c r="E249" s="242">
        <f t="shared" ref="E249:O249" si="155">E61/E69</f>
        <v>7.9687600833125902</v>
      </c>
      <c r="F249" s="243">
        <f t="shared" si="155"/>
        <v>2.2408357237995387</v>
      </c>
      <c r="G249" s="243">
        <f t="shared" si="155"/>
        <v>1.3365958760311409</v>
      </c>
      <c r="H249" s="243">
        <f t="shared" si="155"/>
        <v>4.4946188075256153</v>
      </c>
      <c r="I249" s="243">
        <f t="shared" si="155"/>
        <v>4.9255550534459172</v>
      </c>
      <c r="J249" s="243">
        <f t="shared" si="155"/>
        <v>4.9513812558420778</v>
      </c>
      <c r="K249" s="243">
        <f t="shared" si="155"/>
        <v>13.442618273009671</v>
      </c>
      <c r="L249" s="243" t="e">
        <f t="shared" si="155"/>
        <v>#DIV/0!</v>
      </c>
      <c r="M249" s="243" t="e">
        <f t="shared" si="155"/>
        <v>#DIV/0!</v>
      </c>
      <c r="N249" s="243" t="e">
        <f t="shared" si="155"/>
        <v>#DIV/0!</v>
      </c>
      <c r="O249" s="243" t="e">
        <f t="shared" si="155"/>
        <v>#DIV/0!</v>
      </c>
    </row>
    <row r="250" spans="2:15" ht="13" thickTop="1" x14ac:dyDescent="0.25">
      <c r="B250" s="244"/>
      <c r="C250" s="245"/>
      <c r="F250" s="212"/>
      <c r="G250" s="212"/>
      <c r="H250" s="212"/>
      <c r="I250" s="212"/>
      <c r="J250" s="212"/>
      <c r="K250" s="212"/>
      <c r="L250" s="212"/>
      <c r="M250" s="212"/>
      <c r="N250" s="212"/>
      <c r="O250" s="212"/>
    </row>
    <row r="251" spans="2:15" ht="13" thickBot="1" x14ac:dyDescent="0.3">
      <c r="B251" s="246"/>
      <c r="C251" s="247"/>
      <c r="F251" s="212"/>
      <c r="G251" s="212"/>
      <c r="H251" s="212"/>
      <c r="I251" s="212"/>
      <c r="J251" s="212"/>
      <c r="K251" s="212"/>
      <c r="L251" s="212"/>
      <c r="M251" s="212"/>
      <c r="N251" s="212"/>
      <c r="O251" s="212"/>
    </row>
    <row r="252" spans="2:15" ht="13.5" thickBot="1" x14ac:dyDescent="0.35">
      <c r="B252" s="213" t="s">
        <v>530</v>
      </c>
      <c r="C252" s="213" t="s">
        <v>536</v>
      </c>
      <c r="D252" s="11"/>
      <c r="E252" s="214">
        <f t="shared" ref="E252:O252" si="156">E244</f>
        <v>2024</v>
      </c>
      <c r="F252" s="214">
        <f t="shared" si="156"/>
        <v>2025</v>
      </c>
      <c r="G252" s="214">
        <f t="shared" si="156"/>
        <v>2026</v>
      </c>
      <c r="H252" s="214">
        <f t="shared" si="156"/>
        <v>2027</v>
      </c>
      <c r="I252" s="214">
        <f t="shared" si="156"/>
        <v>2028</v>
      </c>
      <c r="J252" s="214">
        <f t="shared" si="156"/>
        <v>2029</v>
      </c>
      <c r="K252" s="214">
        <f t="shared" si="156"/>
        <v>2030</v>
      </c>
      <c r="L252" s="214">
        <f t="shared" si="156"/>
        <v>2031</v>
      </c>
      <c r="M252" s="214">
        <f t="shared" si="156"/>
        <v>2032</v>
      </c>
      <c r="N252" s="214">
        <f t="shared" si="156"/>
        <v>2033</v>
      </c>
      <c r="O252" s="214">
        <f t="shared" si="156"/>
        <v>2034</v>
      </c>
    </row>
    <row r="253" spans="2:15" ht="13" x14ac:dyDescent="0.3">
      <c r="B253" s="248" t="s">
        <v>547</v>
      </c>
      <c r="C253" s="249" t="s">
        <v>548</v>
      </c>
      <c r="D253" s="231"/>
      <c r="E253" s="250"/>
      <c r="F253" s="251"/>
      <c r="G253" s="251"/>
      <c r="H253" s="251"/>
      <c r="I253" s="251"/>
      <c r="J253" s="251"/>
      <c r="K253" s="251"/>
      <c r="L253" s="251"/>
      <c r="M253" s="251"/>
      <c r="N253" s="251"/>
      <c r="O253" s="251"/>
    </row>
    <row r="254" spans="2:15" x14ac:dyDescent="0.25">
      <c r="B254" s="234" t="s">
        <v>549</v>
      </c>
      <c r="C254" s="235" t="s">
        <v>550</v>
      </c>
      <c r="D254" s="252"/>
      <c r="E254" s="253">
        <f t="shared" ref="E254:O254" si="157">(E198+E178)/E163</f>
        <v>0.3411667772114062</v>
      </c>
      <c r="F254" s="254">
        <f t="shared" si="157"/>
        <v>0.3998708130033467</v>
      </c>
      <c r="G254" s="254">
        <f t="shared" si="157"/>
        <v>0.24692513465736532</v>
      </c>
      <c r="H254" s="254">
        <f t="shared" si="157"/>
        <v>0.23626857455659694</v>
      </c>
      <c r="I254" s="254">
        <f t="shared" si="157"/>
        <v>0.22639322896936145</v>
      </c>
      <c r="J254" s="254">
        <f t="shared" si="157"/>
        <v>0.21916904565255749</v>
      </c>
      <c r="K254" s="254">
        <f t="shared" si="157"/>
        <v>6.9770546400822336E-2</v>
      </c>
      <c r="L254" s="254">
        <f t="shared" si="157"/>
        <v>5.5568915607497785E-2</v>
      </c>
      <c r="M254" s="254">
        <f t="shared" si="157"/>
        <v>5.2441663214547483E-2</v>
      </c>
      <c r="N254" s="254">
        <f t="shared" si="157"/>
        <v>4.951434646906315E-2</v>
      </c>
      <c r="O254" s="254">
        <f t="shared" si="157"/>
        <v>4.6857868554469183E-2</v>
      </c>
    </row>
    <row r="255" spans="2:15" x14ac:dyDescent="0.25">
      <c r="B255" s="234" t="s">
        <v>551</v>
      </c>
      <c r="C255" s="235" t="s">
        <v>552</v>
      </c>
      <c r="D255" s="236"/>
      <c r="E255" s="237">
        <f t="shared" ref="E255:O255" si="158">(E198+E178)/E172</f>
        <v>0.60878983216066596</v>
      </c>
      <c r="F255" s="238">
        <f t="shared" si="158"/>
        <v>0.66630788692920739</v>
      </c>
      <c r="G255" s="238">
        <f t="shared" si="158"/>
        <v>0.32788922386944092</v>
      </c>
      <c r="H255" s="238">
        <f t="shared" si="158"/>
        <v>0.30936081096835477</v>
      </c>
      <c r="I255" s="238">
        <f t="shared" si="158"/>
        <v>0.29264638850818636</v>
      </c>
      <c r="J255" s="238">
        <f t="shared" si="158"/>
        <v>0.28068693130596961</v>
      </c>
      <c r="K255" s="238">
        <f t="shared" si="158"/>
        <v>7.5003587304826966E-2</v>
      </c>
      <c r="L255" s="238">
        <f t="shared" si="158"/>
        <v>5.8838507385378394E-2</v>
      </c>
      <c r="M255" s="238">
        <f t="shared" si="158"/>
        <v>5.5343993465662891E-2</v>
      </c>
      <c r="N255" s="238">
        <f t="shared" si="158"/>
        <v>5.2093732350865986E-2</v>
      </c>
      <c r="O255" s="238">
        <f t="shared" si="158"/>
        <v>4.9161468641015713E-2</v>
      </c>
    </row>
    <row r="256" spans="2:15" ht="13" thickBot="1" x14ac:dyDescent="0.3">
      <c r="B256" s="255" t="s">
        <v>553</v>
      </c>
      <c r="C256" s="256" t="s">
        <v>554</v>
      </c>
      <c r="D256" s="241"/>
      <c r="E256" s="257">
        <f t="shared" ref="E256:O256" si="159">E95/E163</f>
        <v>4.327732928703416E-4</v>
      </c>
      <c r="F256" s="258">
        <f t="shared" si="159"/>
        <v>2.9455594897790621E-2</v>
      </c>
      <c r="G256" s="258">
        <f t="shared" si="159"/>
        <v>8.8547630980502397E-3</v>
      </c>
      <c r="H256" s="258">
        <f t="shared" si="159"/>
        <v>3.0239308259927225E-2</v>
      </c>
      <c r="I256" s="258">
        <f t="shared" si="159"/>
        <v>3.3169488635394179E-2</v>
      </c>
      <c r="J256" s="258">
        <f t="shared" si="159"/>
        <v>3.2320707149694351E-2</v>
      </c>
      <c r="K256" s="258">
        <f t="shared" si="159"/>
        <v>4.910521003220214E-2</v>
      </c>
      <c r="L256" s="258">
        <f t="shared" si="159"/>
        <v>5.4163752975471449E-2</v>
      </c>
      <c r="M256" s="258">
        <f t="shared" si="159"/>
        <v>5.8420152445155617E-2</v>
      </c>
      <c r="N256" s="258">
        <f t="shared" si="159"/>
        <v>5.7988929377917948E-2</v>
      </c>
      <c r="O256" s="258">
        <f t="shared" si="159"/>
        <v>5.5848283976512321E-2</v>
      </c>
    </row>
    <row r="257" spans="6:15" ht="13" thickTop="1" x14ac:dyDescent="0.25">
      <c r="F257" s="212"/>
      <c r="G257" s="212"/>
      <c r="H257" s="212"/>
      <c r="I257" s="212"/>
      <c r="J257" s="212"/>
      <c r="K257" s="212"/>
      <c r="L257" s="212"/>
      <c r="M257" s="212"/>
      <c r="N257" s="212"/>
      <c r="O257" s="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 2025-2034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Mithat Hodzic</dc:creator>
  <cp:lastModifiedBy>Mithat Hodzic</cp:lastModifiedBy>
  <dcterms:created xsi:type="dcterms:W3CDTF">2015-06-05T18:17:20Z</dcterms:created>
  <dcterms:modified xsi:type="dcterms:W3CDTF">2025-05-30T08:11:28Z</dcterms:modified>
</cp:coreProperties>
</file>